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09"/>
  <workbookPr autoCompressPictures="0" defaultThemeVersion="124226"/>
  <bookViews>
    <workbookView xWindow="0" yWindow="0" windowWidth="16965" windowHeight="11760" tabRatio="563" xr2:uid="{00000000-000D-0000-FFFF-FFFF00000000}"/>
  </bookViews>
  <sheets>
    <sheet name="Rapid Rehousing Renewal" sheetId="4" r:id="rId1"/>
    <sheet name="Points RRH renewal" sheetId="5" r:id="rId2"/>
    <sheet name="RRH Crosswalk 2017 vs 2016" sheetId="8" r:id="rId3"/>
    <sheet name="Ranges" sheetId="6" state="hidden" r:id="rId4"/>
  </sheets>
  <definedNames>
    <definedName name="bedutil">Ranges!$D$1:$D$4</definedName>
    <definedName name="lmh">Ranges!$C$1:$C$4</definedName>
    <definedName name="_xlnm.Print_Area" localSheetId="0">'Rapid Rehousing Renewal'!$A$1:$H$232</definedName>
    <definedName name="_xlnm.Print_Titles" localSheetId="0">'Rapid Rehousing Renewal'!$1:$1</definedName>
    <definedName name="tf">Ranges!$A$1:$A$3</definedName>
    <definedName name="yn">Ranges!$B$1:$B$3</definedName>
  </definedNames>
  <calcPr calcId="171026"/>
</workbook>
</file>

<file path=xl/calcChain.xml><?xml version="1.0" encoding="utf-8"?>
<calcChain xmlns="http://schemas.openxmlformats.org/spreadsheetml/2006/main">
  <c r="C139" i="4" l="1"/>
  <c r="C77" i="4"/>
  <c r="G75" i="4"/>
  <c r="F82" i="4"/>
  <c r="D83" i="4"/>
  <c r="F83" i="4"/>
  <c r="D84" i="4"/>
  <c r="F84" i="4"/>
  <c r="D85" i="4"/>
  <c r="C83" i="4"/>
  <c r="C84" i="4"/>
  <c r="F85" i="4"/>
  <c r="G85" i="4"/>
  <c r="G84" i="4"/>
  <c r="G83" i="4"/>
  <c r="F119" i="4"/>
  <c r="D119" i="4"/>
  <c r="C122" i="4"/>
  <c r="G119" i="4"/>
  <c r="D120" i="4"/>
  <c r="F120" i="4"/>
  <c r="G120" i="4"/>
  <c r="F121" i="4"/>
  <c r="G121" i="4"/>
  <c r="C31" i="4"/>
  <c r="G82" i="4"/>
  <c r="D18" i="4"/>
  <c r="H23" i="4"/>
  <c r="H105" i="4"/>
  <c r="H132" i="4"/>
  <c r="H167" i="4"/>
  <c r="H191" i="4"/>
  <c r="H9" i="4"/>
  <c r="G80" i="4"/>
  <c r="F75" i="4"/>
  <c r="D76" i="4"/>
  <c r="F76" i="4"/>
  <c r="D77" i="4"/>
  <c r="F77" i="4"/>
  <c r="D78" i="4"/>
  <c r="F78" i="4"/>
  <c r="D79" i="4"/>
  <c r="F79" i="4"/>
  <c r="G79" i="4"/>
  <c r="J79" i="4"/>
  <c r="J78" i="4"/>
  <c r="H75" i="4"/>
  <c r="H76" i="4"/>
  <c r="H77" i="4"/>
  <c r="H78" i="4"/>
  <c r="H79" i="4"/>
  <c r="C34" i="4"/>
  <c r="G31" i="4"/>
  <c r="G43" i="4"/>
  <c r="C68" i="4"/>
  <c r="D21" i="4"/>
  <c r="D20" i="4"/>
  <c r="D16" i="4"/>
  <c r="C75" i="4"/>
  <c r="D253" i="4"/>
  <c r="D251" i="4"/>
  <c r="D252" i="4"/>
  <c r="D14" i="4"/>
  <c r="D13" i="4"/>
  <c r="K26" i="8"/>
  <c r="K32" i="8"/>
  <c r="K4" i="8"/>
  <c r="K43" i="8"/>
  <c r="K37" i="8"/>
  <c r="K20" i="8"/>
  <c r="K15" i="8"/>
  <c r="J43" i="8"/>
  <c r="J37" i="8"/>
  <c r="J26" i="8"/>
  <c r="J20" i="8"/>
  <c r="J15" i="8"/>
  <c r="J4" i="8"/>
  <c r="D38" i="8"/>
  <c r="D32" i="8"/>
  <c r="D27" i="8"/>
  <c r="D21" i="8"/>
  <c r="D16" i="8"/>
  <c r="D4" i="8"/>
  <c r="D41" i="8"/>
  <c r="C163" i="4"/>
  <c r="C62" i="4"/>
  <c r="C61" i="4"/>
  <c r="C63" i="4"/>
  <c r="G64" i="4"/>
  <c r="D21" i="5"/>
  <c r="D27" i="5"/>
  <c r="D32" i="5"/>
  <c r="D38" i="5"/>
  <c r="H27" i="4"/>
  <c r="H28" i="4"/>
  <c r="H29" i="4"/>
  <c r="H30" i="4"/>
  <c r="H31" i="4"/>
  <c r="C147" i="4"/>
  <c r="C156" i="4"/>
  <c r="J30" i="4"/>
  <c r="D103" i="4"/>
  <c r="D254" i="4"/>
  <c r="C229" i="4"/>
  <c r="G232" i="4"/>
  <c r="C243" i="4"/>
  <c r="G246" i="4"/>
  <c r="C218" i="4"/>
  <c r="D94" i="4"/>
  <c r="C187" i="4"/>
  <c r="G189" i="4"/>
  <c r="C185" i="4"/>
  <c r="C177" i="4"/>
  <c r="C172" i="4"/>
  <c r="D169" i="4"/>
  <c r="C162" i="4"/>
  <c r="C164" i="4"/>
  <c r="G165" i="4"/>
  <c r="C155" i="4"/>
  <c r="C146" i="4"/>
  <c r="C138" i="4"/>
  <c r="C140" i="4"/>
  <c r="G140" i="4"/>
  <c r="C129" i="4"/>
  <c r="C130" i="4"/>
  <c r="H127" i="4"/>
  <c r="D124" i="4"/>
  <c r="C127" i="4"/>
  <c r="G118" i="4"/>
  <c r="C120" i="4"/>
  <c r="C114" i="4"/>
  <c r="C112" i="4"/>
  <c r="C118" i="4"/>
  <c r="C90" i="4"/>
  <c r="G51" i="4"/>
  <c r="G48" i="4"/>
  <c r="J140" i="4"/>
  <c r="K120" i="4"/>
  <c r="K121" i="4"/>
  <c r="D118" i="4"/>
  <c r="C110" i="4"/>
  <c r="F51" i="4"/>
  <c r="J54" i="4"/>
  <c r="C217" i="4"/>
  <c r="J186" i="4"/>
  <c r="F183" i="4"/>
  <c r="G183" i="4"/>
  <c r="G175" i="4"/>
  <c r="C69" i="4"/>
  <c r="D217" i="4"/>
  <c r="D222" i="4"/>
  <c r="D228" i="4"/>
  <c r="J228" i="4"/>
  <c r="J229" i="4"/>
  <c r="F228" i="4"/>
  <c r="D236" i="4"/>
  <c r="D237" i="4"/>
  <c r="D242" i="4"/>
  <c r="F242" i="4"/>
  <c r="D243" i="4"/>
  <c r="J244" i="4"/>
  <c r="J245" i="4"/>
  <c r="H242" i="4"/>
  <c r="H243" i="4"/>
  <c r="H244" i="4"/>
  <c r="H245" i="4"/>
  <c r="H246" i="4"/>
  <c r="D176" i="4"/>
  <c r="J176" i="4"/>
  <c r="F176" i="4"/>
  <c r="G176" i="4"/>
  <c r="J177" i="4"/>
  <c r="J178" i="4"/>
  <c r="H176" i="4"/>
  <c r="H177" i="4"/>
  <c r="H178" i="4"/>
  <c r="H179" i="4"/>
  <c r="H180" i="4"/>
  <c r="J187" i="4"/>
  <c r="J188" i="4"/>
  <c r="H188" i="4"/>
  <c r="H187" i="4"/>
  <c r="H186" i="4"/>
  <c r="H184" i="4"/>
  <c r="H183" i="4"/>
  <c r="F143" i="4"/>
  <c r="D144" i="4"/>
  <c r="J145" i="4"/>
  <c r="F144" i="4"/>
  <c r="D145" i="4"/>
  <c r="F151" i="4"/>
  <c r="D152" i="4"/>
  <c r="J161" i="4"/>
  <c r="F160" i="4"/>
  <c r="D110" i="4"/>
  <c r="F111" i="4"/>
  <c r="D111" i="4"/>
  <c r="G111" i="4"/>
  <c r="D112" i="4"/>
  <c r="F112" i="4"/>
  <c r="F113" i="4"/>
  <c r="J29" i="4"/>
  <c r="J45" i="4"/>
  <c r="J47" i="4"/>
  <c r="J48" i="4"/>
  <c r="H44" i="4"/>
  <c r="H45" i="4"/>
  <c r="H46" i="4"/>
  <c r="H47" i="4"/>
  <c r="H48" i="4"/>
  <c r="J56" i="4"/>
  <c r="H52" i="4"/>
  <c r="H53" i="4"/>
  <c r="H54" i="4"/>
  <c r="H55" i="4"/>
  <c r="H56" i="4"/>
  <c r="J61" i="4"/>
  <c r="J62" i="4"/>
  <c r="F59" i="4"/>
  <c r="J68" i="4"/>
  <c r="J69" i="4"/>
  <c r="F67" i="4"/>
  <c r="D89" i="4"/>
  <c r="F89" i="4"/>
  <c r="D90" i="4"/>
  <c r="F90" i="4"/>
  <c r="D91" i="4"/>
  <c r="K112" i="4"/>
  <c r="K113" i="4"/>
  <c r="H136" i="4"/>
  <c r="H137" i="4"/>
  <c r="H138" i="4"/>
  <c r="H139" i="4"/>
  <c r="H140" i="4"/>
  <c r="J146" i="4"/>
  <c r="J147" i="4"/>
  <c r="H144" i="4"/>
  <c r="H145" i="4"/>
  <c r="H146" i="4"/>
  <c r="H147" i="4"/>
  <c r="H152" i="4"/>
  <c r="H153" i="4"/>
  <c r="H154" i="4"/>
  <c r="H155" i="4"/>
  <c r="J230" i="4"/>
  <c r="J231" i="4"/>
  <c r="H228" i="4"/>
  <c r="H229" i="4"/>
  <c r="H230" i="4"/>
  <c r="H231" i="4"/>
  <c r="H232" i="4"/>
  <c r="J91" i="4"/>
  <c r="J92" i="4"/>
  <c r="H89" i="4"/>
  <c r="H90" i="4"/>
  <c r="H91" i="4"/>
  <c r="J70" i="4"/>
  <c r="J71" i="4"/>
  <c r="J63" i="4"/>
  <c r="J64" i="4"/>
  <c r="D4" i="5"/>
  <c r="D16" i="5"/>
  <c r="D42" i="5"/>
  <c r="J242" i="4"/>
  <c r="J243" i="4"/>
  <c r="J139" i="4"/>
  <c r="D223" i="4"/>
  <c r="J163" i="4"/>
  <c r="J164" i="4"/>
  <c r="H161" i="4"/>
  <c r="H162" i="4"/>
  <c r="H163" i="4"/>
  <c r="H164" i="4"/>
  <c r="H165" i="4"/>
  <c r="J55" i="4"/>
  <c r="C148" i="4"/>
  <c r="G147" i="4"/>
  <c r="G227" i="4"/>
  <c r="F135" i="4"/>
  <c r="D136" i="4"/>
  <c r="F136" i="4"/>
  <c r="D234" i="4"/>
  <c r="J162" i="4"/>
  <c r="D52" i="4"/>
  <c r="G72" i="4"/>
  <c r="D137" i="4"/>
  <c r="F137" i="4"/>
  <c r="D138" i="4"/>
  <c r="F138" i="4"/>
  <c r="D139" i="4"/>
  <c r="J46" i="8"/>
  <c r="G78" i="4"/>
  <c r="F152" i="4"/>
  <c r="D153" i="4"/>
  <c r="G89" i="4"/>
  <c r="G241" i="4"/>
  <c r="C219" i="4"/>
  <c r="G221" i="4"/>
  <c r="G136" i="4"/>
  <c r="C157" i="4"/>
  <c r="D248" i="4"/>
  <c r="D81" i="4"/>
  <c r="D184" i="4"/>
  <c r="D177" i="4"/>
  <c r="C32" i="4"/>
  <c r="J34" i="4"/>
  <c r="F139" i="4"/>
  <c r="D140" i="4"/>
  <c r="F145" i="4"/>
  <c r="D146" i="4"/>
  <c r="G145" i="4"/>
  <c r="G138" i="4"/>
  <c r="G144" i="4"/>
  <c r="G135" i="4"/>
  <c r="G242" i="4"/>
  <c r="G67" i="4"/>
  <c r="D68" i="4"/>
  <c r="G223" i="4"/>
  <c r="K46" i="8"/>
  <c r="F153" i="4"/>
  <c r="D154" i="4"/>
  <c r="F177" i="4"/>
  <c r="D178" i="4"/>
  <c r="H60" i="4"/>
  <c r="H61" i="4"/>
  <c r="H62" i="4"/>
  <c r="H63" i="4"/>
  <c r="H64" i="4"/>
  <c r="D60" i="4"/>
  <c r="G59" i="4"/>
  <c r="F43" i="4"/>
  <c r="D44" i="4"/>
  <c r="J46" i="4"/>
  <c r="F243" i="4"/>
  <c r="D244" i="4"/>
  <c r="G228" i="4"/>
  <c r="D229" i="4"/>
  <c r="G110" i="4"/>
  <c r="D116" i="4"/>
  <c r="G113" i="4"/>
  <c r="G112" i="4"/>
  <c r="G137" i="4"/>
  <c r="G143" i="4"/>
  <c r="F52" i="4"/>
  <c r="D53" i="4"/>
  <c r="H68" i="4"/>
  <c r="H69" i="4"/>
  <c r="H70" i="4"/>
  <c r="H71" i="4"/>
  <c r="H72" i="4"/>
  <c r="H119" i="4"/>
  <c r="H120" i="4"/>
  <c r="H121" i="4"/>
  <c r="H111" i="4"/>
  <c r="H112" i="4"/>
  <c r="H113" i="4"/>
  <c r="D161" i="4"/>
  <c r="G160" i="4"/>
  <c r="G91" i="4"/>
  <c r="G88" i="4"/>
  <c r="G90" i="4"/>
  <c r="G151" i="4"/>
  <c r="G155" i="4"/>
  <c r="G77" i="4"/>
  <c r="G222" i="4"/>
  <c r="D193" i="4"/>
  <c r="G139" i="4"/>
  <c r="D134" i="4"/>
  <c r="G76" i="4"/>
  <c r="F184" i="4"/>
  <c r="D186" i="4"/>
  <c r="G184" i="4"/>
  <c r="G152" i="4"/>
  <c r="G28" i="4"/>
  <c r="D34" i="4"/>
  <c r="F178" i="4"/>
  <c r="D179" i="4"/>
  <c r="G178" i="4"/>
  <c r="F53" i="4"/>
  <c r="D54" i="4"/>
  <c r="D108" i="4"/>
  <c r="D105" i="4"/>
  <c r="G243" i="4"/>
  <c r="F60" i="4"/>
  <c r="D61" i="4"/>
  <c r="G60" i="4"/>
  <c r="F154" i="4"/>
  <c r="D155" i="4"/>
  <c r="F244" i="4"/>
  <c r="D245" i="4"/>
  <c r="G244" i="4"/>
  <c r="F161" i="4"/>
  <c r="D162" i="4"/>
  <c r="G161" i="4"/>
  <c r="G52" i="4"/>
  <c r="F229" i="4"/>
  <c r="G229" i="4"/>
  <c r="D230" i="4"/>
  <c r="G153" i="4"/>
  <c r="F68" i="4"/>
  <c r="D69" i="4"/>
  <c r="G68" i="4"/>
  <c r="D87" i="4"/>
  <c r="F44" i="4"/>
  <c r="D45" i="4"/>
  <c r="G177" i="4"/>
  <c r="F146" i="4"/>
  <c r="D147" i="4"/>
  <c r="D74" i="4"/>
  <c r="F186" i="4"/>
  <c r="D187" i="4"/>
  <c r="F187" i="4"/>
  <c r="D188" i="4"/>
  <c r="F188" i="4"/>
  <c r="G188" i="4"/>
  <c r="G186" i="4"/>
  <c r="G44" i="4"/>
  <c r="G146" i="4"/>
  <c r="D142" i="4"/>
  <c r="G29" i="4"/>
  <c r="G26" i="4"/>
  <c r="G27" i="4"/>
  <c r="C39" i="4"/>
  <c r="C40" i="4"/>
  <c r="G30" i="4"/>
  <c r="D189" i="4"/>
  <c r="F69" i="4"/>
  <c r="D70" i="4"/>
  <c r="F61" i="4"/>
  <c r="D62" i="4"/>
  <c r="G53" i="4"/>
  <c r="F179" i="4"/>
  <c r="D180" i="4"/>
  <c r="F54" i="4"/>
  <c r="D55" i="4"/>
  <c r="F45" i="4"/>
  <c r="D46" i="4"/>
  <c r="F245" i="4"/>
  <c r="D246" i="4"/>
  <c r="F230" i="4"/>
  <c r="D231" i="4"/>
  <c r="G230" i="4"/>
  <c r="F162" i="4"/>
  <c r="D163" i="4"/>
  <c r="G154" i="4"/>
  <c r="D150" i="4"/>
  <c r="G187" i="4"/>
  <c r="D182" i="4"/>
  <c r="G179" i="4"/>
  <c r="G54" i="4"/>
  <c r="D37" i="4"/>
  <c r="D39" i="4"/>
  <c r="D25" i="4"/>
  <c r="F231" i="4"/>
  <c r="D232" i="4"/>
  <c r="F163" i="4"/>
  <c r="D164" i="4"/>
  <c r="G45" i="4"/>
  <c r="F55" i="4"/>
  <c r="D56" i="4"/>
  <c r="G56" i="4"/>
  <c r="G61" i="4"/>
  <c r="G69" i="4"/>
  <c r="G162" i="4"/>
  <c r="G245" i="4"/>
  <c r="D239" i="4"/>
  <c r="F46" i="4"/>
  <c r="D47" i="4"/>
  <c r="F180" i="4"/>
  <c r="G180" i="4"/>
  <c r="D174" i="4"/>
  <c r="D167" i="4"/>
  <c r="F62" i="4"/>
  <c r="D63" i="4"/>
  <c r="F70" i="4"/>
  <c r="D71" i="4"/>
  <c r="G70" i="4"/>
  <c r="G62" i="4"/>
  <c r="G55" i="4"/>
  <c r="D50" i="4"/>
  <c r="F71" i="4"/>
  <c r="D72" i="4"/>
  <c r="G163" i="4"/>
  <c r="F47" i="4"/>
  <c r="D48" i="4"/>
  <c r="G231" i="4"/>
  <c r="D225" i="4"/>
  <c r="D191" i="4"/>
  <c r="F164" i="4"/>
  <c r="D165" i="4"/>
  <c r="F165" i="4"/>
  <c r="F63" i="4"/>
  <c r="D64" i="4"/>
  <c r="G46" i="4"/>
  <c r="G164" i="4"/>
  <c r="D159" i="4"/>
  <c r="D132" i="4"/>
  <c r="G63" i="4"/>
  <c r="D58" i="4"/>
  <c r="G47" i="4"/>
  <c r="D42" i="4"/>
  <c r="G71" i="4"/>
  <c r="D66" i="4"/>
  <c r="D23" i="4"/>
  <c r="D9" i="4"/>
</calcChain>
</file>

<file path=xl/sharedStrings.xml><?xml version="1.0" encoding="utf-8"?>
<sst xmlns="http://schemas.openxmlformats.org/spreadsheetml/2006/main" count="908" uniqueCount="450">
  <si>
    <t>2017  RTFH Scoring Tool - Rapid Rehousing RENEWAL</t>
  </si>
  <si>
    <r>
      <rPr>
        <b/>
        <sz val="14"/>
        <color theme="0"/>
        <rFont val="Arial"/>
        <family val="2"/>
      </rPr>
      <t xml:space="preserve">NOTICE: Use HMIS (Homeless Management Information System) Data </t>
    </r>
    <r>
      <rPr>
        <b/>
        <sz val="14"/>
        <color rgb="FFFFFF00"/>
        <rFont val="Arial"/>
        <family val="2"/>
      </rPr>
      <t>from Oct 1, 2015 - Sept 30, 2016</t>
    </r>
  </si>
  <si>
    <t>Recommendations</t>
  </si>
  <si>
    <r>
      <rPr>
        <b/>
        <sz val="10"/>
        <rFont val="Arial"/>
        <family val="2"/>
      </rPr>
      <t xml:space="preserve">Green cells are input cells for project specific information. Other cells are self-populating, pulled from other information entered within 
the workbook, and/or there to provide context, instructions, or other information to ensure transparency regarding how the scoring tool works.   </t>
    </r>
    <r>
      <rPr>
        <b/>
        <sz val="10"/>
        <color rgb="FFFF0000"/>
        <rFont val="Arial"/>
        <family val="2"/>
      </rPr>
      <t xml:space="preserve">                                                                                                                            Note: APR / 0625 cell references do not include header rows or title columns.</t>
    </r>
  </si>
  <si>
    <t>Last Updated: August 11, 2017</t>
  </si>
  <si>
    <t>AGENCY:</t>
  </si>
  <si>
    <t>Grantee</t>
  </si>
  <si>
    <t>Total Number of Clients Served (APR Q 7. row 1 All Clients):</t>
  </si>
  <si>
    <t>PROJECT NAME:</t>
  </si>
  <si>
    <t xml:space="preserve">HUD GIW </t>
  </si>
  <si>
    <t>Total Number of Adults (APR Q.7 row 2 Adults Only):</t>
  </si>
  <si>
    <t>RENEWAL GRANT #:</t>
  </si>
  <si>
    <t>From GIW (not from APR)</t>
  </si>
  <si>
    <t>Total Number of Leavers (APR Q.7 row 4 Leavers):</t>
  </si>
  <si>
    <t xml:space="preserve"> </t>
  </si>
  <si>
    <t>PROJECT GRAND POINT TOTAL</t>
  </si>
  <si>
    <t>Points Earned</t>
  </si>
  <si>
    <t>Potential:</t>
  </si>
  <si>
    <t>CES PARTICIPATION</t>
  </si>
  <si>
    <t>Threshold Criteria</t>
  </si>
  <si>
    <t>Eligibility Item</t>
  </si>
  <si>
    <t>No Potential Points</t>
  </si>
  <si>
    <t>CES Project Category</t>
  </si>
  <si>
    <t>Does this project only serve DV households (100%)?</t>
  </si>
  <si>
    <t>Select yes or no</t>
  </si>
  <si>
    <t>SELECT YES OR NO</t>
  </si>
  <si>
    <t xml:space="preserve">Is this a Transitional Housing project? </t>
  </si>
  <si>
    <t xml:space="preserve">Select yes or no </t>
  </si>
  <si>
    <t>Commitment to  Coordinated Entry System (CES)</t>
  </si>
  <si>
    <t>For TH - Will you agree to written community standards?</t>
  </si>
  <si>
    <t xml:space="preserve">Has the agency formally committed to use CES for this project? </t>
  </si>
  <si>
    <t>CES Commitment or Application</t>
  </si>
  <si>
    <t>Participation in CES Training</t>
  </si>
  <si>
    <t>Have one or more agency staff participated in formal CES Training ?</t>
  </si>
  <si>
    <t>RTFH records</t>
  </si>
  <si>
    <t>Agency Participation in CES Database</t>
  </si>
  <si>
    <t>Have 100% of CoC units been entered into CES and Eligibility Matrix completed?</t>
  </si>
  <si>
    <t>CES Coordinator / HMIS records</t>
  </si>
  <si>
    <t>Will 100% of CoC vacated units be filled by CES?</t>
  </si>
  <si>
    <t>Agency sigend commitment form in Dropbox</t>
  </si>
  <si>
    <t>Section I: PROJECT PERFORMANCE &amp; OUTCOMES</t>
  </si>
  <si>
    <t>Section Points Earned:</t>
  </si>
  <si>
    <t>Update the formulas</t>
  </si>
  <si>
    <t>Input</t>
  </si>
  <si>
    <t>Source</t>
  </si>
  <si>
    <t>Raw Data</t>
  </si>
  <si>
    <r>
      <t xml:space="preserve">Measurement Intervals:   </t>
    </r>
    <r>
      <rPr>
        <b/>
        <sz val="10"/>
        <color rgb="FFFF0000"/>
        <rFont val="Arial"/>
        <family val="2"/>
      </rPr>
      <t>Include lower value but not upper value in range</t>
    </r>
  </si>
  <si>
    <t>Points
Earned</t>
  </si>
  <si>
    <t>Corresponding
Points</t>
  </si>
  <si>
    <t>Methodology</t>
  </si>
  <si>
    <r>
      <t>#1a- Housing Stability Measure -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Total percent clients who remained in RRH six months or more, OR who had an exit to other Permanent Housing (Excl. Institutional Settings/Deceased)</t>
    </r>
  </si>
  <si>
    <t>Earned:</t>
  </si>
  <si>
    <t>Consider splitting into two measures. Add one based on year over year improvement</t>
  </si>
  <si>
    <t>Total # Clients for whom measure is appropriate</t>
  </si>
  <si>
    <t>APR Q36a, row 1, col 4</t>
  </si>
  <si>
    <t xml:space="preserve"> up to</t>
  </si>
  <si>
    <t>Leavers to Institutional Settings - Leavers who Stayed &gt; 90 Days</t>
  </si>
  <si>
    <t>APR Q29a1, Subtotal, Col 1</t>
  </si>
  <si>
    <t xml:space="preserve"> -</t>
  </si>
  <si>
    <t>Leavers to Institutional Settings - Leavers who Stayed &lt; 90 Days</t>
  </si>
  <si>
    <t>APR Q29a2, Subtotal, Col 1</t>
  </si>
  <si>
    <t>-</t>
  </si>
  <si>
    <t>Our CoC's average performance from 2013</t>
  </si>
  <si>
    <t>Deceased - Deceased - Leavers who Stayed &gt; 90 Days</t>
  </si>
  <si>
    <t>APR Q29a1 Other Destinations, Deceased, 1st column</t>
  </si>
  <si>
    <t>Five equal Intervals betweenaverage perf threshold to 100% possible</t>
  </si>
  <si>
    <t>Deceased - Deceased - Leavers who Stayed &lt; 90 Days</t>
  </si>
  <si>
    <t>APR Q29a2 Other Destinations, Deceased, 1st column</t>
  </si>
  <si>
    <t>Maximum Points</t>
  </si>
  <si>
    <t>Total Leavers to Institutional Settings + Deceased</t>
  </si>
  <si>
    <t>or</t>
  </si>
  <si>
    <t>above</t>
  </si>
  <si>
    <t>Number of points awarded per interval varies 7 or 8</t>
  </si>
  <si>
    <t># for Whom Measure is Approp - Other Neutral Exits</t>
  </si>
  <si>
    <t xml:space="preserve">Total Persons who Accomplished Measure </t>
  </si>
  <si>
    <t>APR Q36a, row1, col4</t>
  </si>
  <si>
    <t>Clients who remained in PSH for 6 months or more OR exited to other permanent housing</t>
  </si>
  <si>
    <t>Calculation</t>
  </si>
  <si>
    <t>Add isblank</t>
  </si>
  <si>
    <r>
      <t xml:space="preserve">#1b - Housing Stability Improvement Measure - Leavers only 
</t>
    </r>
    <r>
      <rPr>
        <b/>
        <sz val="8"/>
        <color theme="4" tint="-0.499984740745262"/>
        <rFont val="Arial"/>
        <family val="2"/>
      </rPr>
      <t>(Change in Percentage of persons who accomplished this measure) 
Data Sources: Prior year RRH scoring tool, section 1, row 22, % Total Persons Who Accomplished Measure</t>
    </r>
  </si>
  <si>
    <t>Percent Leavers who accomplished measure, 2016</t>
  </si>
  <si>
    <t>RRH Scoring Tool, Section 1, Row 22, column 3 Or APR if no prior tool</t>
  </si>
  <si>
    <t>If C29 &gt; C32 by 10% or more (YR 2017 vs 2016)</t>
  </si>
  <si>
    <t>Calculation (5pts)</t>
  </si>
  <si>
    <t>Or if 2016 &amp; 2017: At or above 90%</t>
  </si>
  <si>
    <t>#2 - Total Income Measure - Adults who increased their income from any source</t>
  </si>
  <si>
    <t>Total Actual Percent Persons Who Increased Total Income</t>
  </si>
  <si>
    <t>APR Q36a row 2a, column 5</t>
  </si>
  <si>
    <t>Performance Threshold, % clients who have any kind of income.</t>
  </si>
  <si>
    <t>Half of Performance Threshold</t>
  </si>
  <si>
    <t>Five equal Intervals between half of perf threshold to 100% possible</t>
  </si>
  <si>
    <t>Number of points awarded per interval</t>
  </si>
  <si>
    <t>#3 - Earned Income Measure - Adults (18 - 61) that increased their earned income</t>
  </si>
  <si>
    <t>Total Actual % Persons who increased Earned Income</t>
  </si>
  <si>
    <t>APR Q36a 2b, column 5</t>
  </si>
  <si>
    <t>#4 - Non-cash Benefits, Leavers and stayers</t>
  </si>
  <si>
    <t>Total persons leavers 1+ source(s)</t>
  </si>
  <si>
    <t>Q26a2, row 2, col 1</t>
  </si>
  <si>
    <t>up to</t>
  </si>
  <si>
    <t>Isblank or count formulas</t>
  </si>
  <si>
    <t>Total persons stayers 1+ source(s)</t>
  </si>
  <si>
    <t>Q26b2, row 2, col 1</t>
  </si>
  <si>
    <t>Performance Threshold, % clients who have earned income</t>
  </si>
  <si>
    <t>Total persons with Non-Cash Benefits</t>
  </si>
  <si>
    <t>Total persons</t>
  </si>
  <si>
    <t>Q7, row 2, (see H5 above)</t>
  </si>
  <si>
    <t>Percent Persons with Non-Cash Benefits</t>
  </si>
  <si>
    <t>#5 - Mainstream Resources</t>
  </si>
  <si>
    <t>Total persons with mainstream resource(s)</t>
  </si>
  <si>
    <t>Q26a1, Total persons col 1</t>
  </si>
  <si>
    <t xml:space="preserve">up to </t>
  </si>
  <si>
    <t>This is only Housing Resrouces - CAHP System should guide whether people get subsidies       Remove and distribute points to 3 and 4</t>
  </si>
  <si>
    <t>Total persons served</t>
  </si>
  <si>
    <t>Cell H5 Above (APR Q.7 row 2 )</t>
  </si>
  <si>
    <t>Percentage Adults with Mainstream Resources</t>
  </si>
  <si>
    <t>#6a.  Rapid Response - Length of Stay</t>
  </si>
  <si>
    <t>Look at current averages for baseline and set improvement targets to receive points. Can do by agency like #7 or system-wide.</t>
  </si>
  <si>
    <t>System Average Length of Stay for Housing Type (in days) prior to successful</t>
  </si>
  <si>
    <t>RTFH Average Los In Days Report - RRH</t>
  </si>
  <si>
    <t>System Average LoS</t>
  </si>
  <si>
    <t>Project Average Length of Stay (in days) prior to exit</t>
  </si>
  <si>
    <t xml:space="preserve">APR Q 27 chart 2, row 1, column 1  (Average LoS Leavers) </t>
  </si>
  <si>
    <t xml:space="preserve">Minimum percent required for points </t>
  </si>
  <si>
    <t>Project Comparison to System Average</t>
  </si>
  <si>
    <t>Three equal Intervals between minimum and 40%</t>
  </si>
  <si>
    <t>Note: System Standard is 50% placed at 45 days.</t>
  </si>
  <si>
    <t xml:space="preserve"> 6b. Rapid Response - CoC Standards % within 90 Days</t>
  </si>
  <si>
    <t>Number of persons exited within 90 days</t>
  </si>
  <si>
    <t>APR  29a2. (Leavers less than 90 days) Total chart 1, Col. 1</t>
  </si>
  <si>
    <t>Total number of persons served</t>
  </si>
  <si>
    <t>APR Q7, Column 1, H5 above</t>
  </si>
  <si>
    <t>baseline</t>
  </si>
  <si>
    <t>What percentage of clients exited within 90 days (goal = 100%)</t>
  </si>
  <si>
    <t>increment</t>
  </si>
  <si>
    <t xml:space="preserve">#7 Reduction in Average Length of Stay (receiving subsidy) (2016 vs. 2015)  </t>
  </si>
  <si>
    <t>Average Length of stay 2014- 2015 APR</t>
  </si>
  <si>
    <t>2015 APR Q 27 LoS STAYERS - Average chart</t>
  </si>
  <si>
    <t>below</t>
  </si>
  <si>
    <t>LOS Same or longer</t>
  </si>
  <si>
    <t>Average Length of stay 2015-2016 APR</t>
  </si>
  <si>
    <t>2016 APR Q 27 LoS STAYERS - Average chart</t>
  </si>
  <si>
    <t>Some measureable progress</t>
  </si>
  <si>
    <t>Percentage reduction</t>
  </si>
  <si>
    <t>Half performance goal</t>
  </si>
  <si>
    <t xml:space="preserve">or </t>
  </si>
  <si>
    <t>Maximum Points (HUD goal 10% or more)</t>
  </si>
  <si>
    <t>Number of points per interval</t>
  </si>
  <si>
    <t>#8 Housing First &amp; Low Barrier Principles</t>
  </si>
  <si>
    <t>Should be threshold for applicable projects. Otherwise projects are penalized for operating within approved standards. Move points to 6 and 7.</t>
  </si>
  <si>
    <t>Select from drop-down list</t>
  </si>
  <si>
    <t>Must meet all criteria for points</t>
  </si>
  <si>
    <t>Program does not require sobriety at entry</t>
  </si>
  <si>
    <t>Housing First Chart ( Application 3B)</t>
  </si>
  <si>
    <t>SELECT TRUE OR FALSE</t>
  </si>
  <si>
    <t xml:space="preserve">Program does not require participation in support services </t>
  </si>
  <si>
    <t>Participants do not need to have income at entry</t>
  </si>
  <si>
    <t>Commit to Housing First Criteria in HUD Application (Exh. 2, HF question)</t>
  </si>
  <si>
    <t>Chart - application - HUD Determination</t>
  </si>
  <si>
    <t>Does not screen out criminal record (with state and local exception)</t>
  </si>
  <si>
    <t>Does not screen out for history of domestic violence</t>
  </si>
  <si>
    <t>Project quickly moves participants to housing</t>
  </si>
  <si>
    <t>Number of Criteria Met</t>
  </si>
  <si>
    <t xml:space="preserve">Section II: RESOURCE UTILIZATION </t>
  </si>
  <si>
    <t>Section Points Earned</t>
  </si>
  <si>
    <t>Note prior Q #9   Bed Utilization is Not applicable to RRH and was removed</t>
  </si>
  <si>
    <t>#9a Resource Utilization - Cost Comparison HUD Funds</t>
  </si>
  <si>
    <t>Cell 109 &gt; 110 % = 0 points</t>
  </si>
  <si>
    <t>Change in order to measure cost based on a successful exit against full budget as submitted in the application. Otherwise it incentivizes outputs and not outcomes.</t>
  </si>
  <si>
    <r>
      <t xml:space="preserve">Measurement Intervals: </t>
    </r>
    <r>
      <rPr>
        <b/>
        <sz val="10"/>
        <color rgb="FFFF0000"/>
        <rFont val="Arial"/>
        <family val="2"/>
      </rPr>
      <t>Include lower value but not upper value in range</t>
    </r>
  </si>
  <si>
    <t>APR Q7a, row 1 (cell H5 above)</t>
  </si>
  <si>
    <t xml:space="preserve">Maximum percentage </t>
  </si>
  <si>
    <t xml:space="preserve">Only successful leavers APR Q29a.1 and Q29a.2 </t>
  </si>
  <si>
    <t>Total HUD Request</t>
  </si>
  <si>
    <t>From Budget Total HUD request (Column 1)</t>
  </si>
  <si>
    <t>Range increments</t>
  </si>
  <si>
    <t>Total budget in application. Otherwise highly leveraged projects have unfair advantage.</t>
  </si>
  <si>
    <t>Cost per Person</t>
  </si>
  <si>
    <t xml:space="preserve"> - </t>
  </si>
  <si>
    <t>Average Cost per person for Program Type</t>
  </si>
  <si>
    <t>Cost Comparison Chart, average cost per program type</t>
  </si>
  <si>
    <t># of points per interval</t>
  </si>
  <si>
    <t>Percentage Project Cost per person to Average for program type</t>
  </si>
  <si>
    <t>#9b Resource Utilization - Cost Comparison Total Budget</t>
  </si>
  <si>
    <t>Total Project Budget</t>
  </si>
  <si>
    <t>From Budget Total (Column 1)</t>
  </si>
  <si>
    <t>Cost Comparison Chart, Average cost calculation for program type</t>
  </si>
  <si>
    <t>#10 Resource Utilization - Grant Spend Out</t>
  </si>
  <si>
    <t>Total Expenditure Operating Year-To-Date</t>
  </si>
  <si>
    <t>E-LOCCS (Line of Credit Control System)</t>
  </si>
  <si>
    <t xml:space="preserve">Total Grant </t>
  </si>
  <si>
    <t>Percent Spend out</t>
  </si>
  <si>
    <t>If grant spend out is at least 95%, 5 points are earned.</t>
  </si>
  <si>
    <t>Number of months eligible to be billed.</t>
  </si>
  <si>
    <t>Operating Year start to June 2017, note if start date is after April 1, 2017.</t>
  </si>
  <si>
    <t>Percentage of grant year completed</t>
  </si>
  <si>
    <t>Adjusted expected spend out percentage based on eligible months</t>
  </si>
  <si>
    <t>Section III: ACUITY &amp; SPECIAL NEEDS</t>
  </si>
  <si>
    <t># 11 Best Practice Housing Usage - Rapid Rehousing</t>
  </si>
  <si>
    <t>Do not think this needs to be a scored item. Determine use of TH and make it threshold to be a funded project.</t>
  </si>
  <si>
    <t>Number of Transition Age Youth (TAY) between the ages of 18 and 24.</t>
  </si>
  <si>
    <t xml:space="preserve">APR Q16, row 4, col 2 </t>
  </si>
  <si>
    <t>Number of Victims fleeing Domestic Violence (DV) occurring within past 6 months</t>
  </si>
  <si>
    <t>APR Q19b, SUM (row 2, col 1 + row 3 Col 1)</t>
  </si>
  <si>
    <t>Number of persons with substance use at entry</t>
  </si>
  <si>
    <t>Sum of APR Q18a SUM(Rows 2 col 1 + Row 3 col 1)</t>
  </si>
  <si>
    <t>Total Number targeted persons</t>
  </si>
  <si>
    <t>Total Number Adults served</t>
  </si>
  <si>
    <t>Cell H6 above</t>
  </si>
  <si>
    <t>Percent of persons in targeted population</t>
  </si>
  <si>
    <t># 12  High Need - General Disability HH</t>
  </si>
  <si>
    <t>Determine who we want TH to serve and make threshold</t>
  </si>
  <si>
    <t xml:space="preserve">Persons with one physical or mental health condition at entry </t>
  </si>
  <si>
    <t>APR Q18b, column 2, row 2</t>
  </si>
  <si>
    <t>Note: Clients may be duplicated.  Example HH could be vet and CH</t>
  </si>
  <si>
    <t xml:space="preserve">Persons with two physical and/or mental health conditions at entry </t>
  </si>
  <si>
    <t>APR Q18b, column 2, row 3</t>
  </si>
  <si>
    <t>Performance Threshold, % clients who have general disability</t>
  </si>
  <si>
    <t>Persons with three or more physical and/or mental health conditions at entry</t>
  </si>
  <si>
    <t>APR Q18b, column 2, row 4</t>
  </si>
  <si>
    <t>Three equal Intervals between the perf threshold to 100% possible</t>
  </si>
  <si>
    <t>Total Persons in targeted populations</t>
  </si>
  <si>
    <t>Cell H5 above</t>
  </si>
  <si>
    <t>Total Percentage Persons in Targeted Populations</t>
  </si>
  <si>
    <t># 13 High Need Priority Populations Indicators</t>
  </si>
  <si>
    <t>Number of Persons with Prior Length of time homeless &gt; 6 months</t>
  </si>
  <si>
    <t>RTFH Custom Report</t>
  </si>
  <si>
    <t>Number of Persons with Mental Illness</t>
  </si>
  <si>
    <t>APR Q18a, row 1, col 1</t>
  </si>
  <si>
    <t>Performance Threshold, % clients in targeted populations</t>
  </si>
  <si>
    <t>Number of Persons with Substance Abuse</t>
  </si>
  <si>
    <t>Sum of APR Q18a Rows 2+3, column 1</t>
  </si>
  <si>
    <t>Four equal Intervals between the perf threshold to 100% possible</t>
  </si>
  <si>
    <t>Number of  persons with Veteran Status</t>
  </si>
  <si>
    <t>APR Q21, Row 1, column 1</t>
  </si>
  <si>
    <t>Total Persons with High Need Factors</t>
  </si>
  <si>
    <t xml:space="preserve"> Calculation</t>
  </si>
  <si>
    <t>Number of points awarded per interval (rounded)</t>
  </si>
  <si>
    <t>Total Persons Served</t>
  </si>
  <si>
    <t>Total percentage persons of targeted populations</t>
  </si>
  <si>
    <r>
      <t>#14 Residence Prior to Program Entry</t>
    </r>
    <r>
      <rPr>
        <b/>
        <sz val="9"/>
        <color theme="4" tint="-0.499984740745262"/>
        <rFont val="Arial"/>
        <family val="2"/>
      </rPr>
      <t/>
    </r>
  </si>
  <si>
    <t>Emergency shelter</t>
  </si>
  <si>
    <t>Total APR Q20a1 Row 1, Col 1</t>
  </si>
  <si>
    <t>Performance Threshold, % clients who were homeless</t>
  </si>
  <si>
    <t>Remove ES and incentivize 'place not meant for habitation'</t>
  </si>
  <si>
    <t>Place not meant for habitation</t>
  </si>
  <si>
    <t>Total APR Q20a1 Row 3, Col 1</t>
  </si>
  <si>
    <t>Persons entered from emergency shelter or place not meant for human habitation</t>
  </si>
  <si>
    <t>Percentage entered from emergency shelter or place not meant for human habitation</t>
  </si>
  <si>
    <t xml:space="preserve">Calculation  </t>
  </si>
  <si>
    <t>Section IV: CoC SYSTEM IMPROVEMENT</t>
  </si>
  <si>
    <t># 15 Preservation of RRH Resources</t>
  </si>
  <si>
    <t>If yes award max points</t>
  </si>
  <si>
    <t xml:space="preserve">RRH Occupany on 2017 HIC &gt;= RRH Occupancy on  2016 on HIC </t>
  </si>
  <si>
    <t>Project PITC Count on  2016 HIC</t>
  </si>
  <si>
    <t>Project PITC Count on 2017 HIC</t>
  </si>
  <si>
    <t>Calculation: If Recent Year &gt;= Prev. Year, max points</t>
  </si>
  <si>
    <t>Caution:  C163 is an array:  if cell selected you must press Ctrl+Shift+Enter to activate the array.</t>
  </si>
  <si>
    <t># 16 Fills subregional gap / need (preserves or creates beds by program and HH type compared with total for that type in subregion )</t>
  </si>
  <si>
    <t>Subregional Summary Chart (1-5 points)</t>
  </si>
  <si>
    <t xml:space="preserve">Compare </t>
  </si>
  <si>
    <t>Project unit / bed inventory  (Housing and HH type)</t>
  </si>
  <si>
    <t>2017 HIC Subregional Chart, named project row</t>
  </si>
  <si>
    <t>Below</t>
  </si>
  <si>
    <t>Performance Threshold, % subreginal need</t>
  </si>
  <si>
    <t>Subregion Total unit/ Bed inventory by Housing and HH type</t>
  </si>
  <si>
    <t>2017 HIC Subregional Chart, sum all Units / beds for Project &amp; HH Type</t>
  </si>
  <si>
    <t>Five equal Intervals between minimum and 40%</t>
  </si>
  <si>
    <t>Percentage of Subregion capacity</t>
  </si>
  <si>
    <t>calculation</t>
  </si>
  <si>
    <t xml:space="preserve">#17 Return to Homelessness from Rapid Rehousing </t>
  </si>
  <si>
    <t>Remove?</t>
  </si>
  <si>
    <t>Exit to place not meant for human habitation</t>
  </si>
  <si>
    <t>APR Q29 a.1. Temporary Destinations Chart, row 5, column 1 + APR Q29 a2 row 5 column 1</t>
  </si>
  <si>
    <t>Higher % = lower score</t>
  </si>
  <si>
    <t>Exits to Unknown location</t>
  </si>
  <si>
    <t>APR Q 29a.1. Other Destintations Chart, row 4, column 1 plus APR Q29 a2 Other destinations row 4 column 1</t>
  </si>
  <si>
    <t>threshold</t>
  </si>
  <si>
    <t>no points</t>
  </si>
  <si>
    <t>subtotal return homelessness</t>
  </si>
  <si>
    <t xml:space="preserve">Calculation </t>
  </si>
  <si>
    <t xml:space="preserve">Number of leavers with 90 day + stay </t>
  </si>
  <si>
    <t>APR Q29a1 and APR 29 a2 Sum Subtotals all charts</t>
  </si>
  <si>
    <t>interval increase</t>
  </si>
  <si>
    <t>Percentage of return to homelessness</t>
  </si>
  <si>
    <t>max points</t>
  </si>
  <si>
    <t>points per interval</t>
  </si>
  <si>
    <t>Section V: DATA QUALITY</t>
  </si>
  <si>
    <t xml:space="preserve">#18 Percent Null Values </t>
  </si>
  <si>
    <t>Enter values (not %) for both columns. 
From APR Q.7, second table</t>
  </si>
  <si>
    <t>Don't Know or Refused</t>
  </si>
  <si>
    <t># Missing Data</t>
  </si>
  <si>
    <t>First Name</t>
  </si>
  <si>
    <t>3 points = % Null</t>
  </si>
  <si>
    <t>Last Name</t>
  </si>
  <si>
    <t>2 points = % Don’t know / refused</t>
  </si>
  <si>
    <t>SSN</t>
  </si>
  <si>
    <t>If  Null &amp; DK combined, calculation below works; needs update if separated</t>
  </si>
  <si>
    <t>Date of Birth</t>
  </si>
  <si>
    <t>Race</t>
  </si>
  <si>
    <t>If potential points change must update</t>
  </si>
  <si>
    <t>Ethnicity</t>
  </si>
  <si>
    <t>point table in cells H241:H243</t>
  </si>
  <si>
    <t>Gender</t>
  </si>
  <si>
    <t>Veteran Status</t>
  </si>
  <si>
    <t>Disabling Condition</t>
  </si>
  <si>
    <t>Residence Prior to Entry</t>
  </si>
  <si>
    <t>Income (at entry)</t>
  </si>
  <si>
    <t>Income (at exit)</t>
  </si>
  <si>
    <t>Non-cash Benefits (at entry)</t>
  </si>
  <si>
    <t>Non-cash Benefits (at exit)</t>
  </si>
  <si>
    <t>Physical Disability (at entry)</t>
  </si>
  <si>
    <t>Developmental Disability (at entry)</t>
  </si>
  <si>
    <t>Chronic Health Condition (at entry)</t>
  </si>
  <si>
    <t>HIV/AIDS (at entry)</t>
  </si>
  <si>
    <t>Mental Health (at entry)</t>
  </si>
  <si>
    <t>Substance Abuse (at entry)</t>
  </si>
  <si>
    <t>Domestic Violence (at entry)</t>
  </si>
  <si>
    <t>Destination</t>
  </si>
  <si>
    <t>Total Null Data Points</t>
  </si>
  <si>
    <t>Total Number of Clients</t>
  </si>
  <si>
    <t>Percent Don't know or refused and # Missing Data</t>
  </si>
  <si>
    <t>+</t>
  </si>
  <si>
    <t xml:space="preserve"> #19 Timeliness of Data Input</t>
  </si>
  <si>
    <t xml:space="preserve">Data Entry </t>
  </si>
  <si>
    <t xml:space="preserve">Number of clients whose data was entered in less than six days after entering the program </t>
  </si>
  <si>
    <t>Regional Taskforce on the Homeless - Timeliness Report  Unique Client Counts (1-3) +  (4-6) days</t>
  </si>
  <si>
    <t>Performance Threshold, 90% of records with timely entry</t>
  </si>
  <si>
    <t>Total number of clients entering during the report year</t>
  </si>
  <si>
    <t>Regional Taskforce on the Homeless - Timeliness Report  Data Row 1, Final Cell</t>
  </si>
  <si>
    <t>Percentage Clients with timely data entry</t>
  </si>
  <si>
    <t>This measures the timeliness of data entry. If there were no new clients (C228 = 0) then assign full points in cell D225:  Earned</t>
  </si>
  <si>
    <t>Above</t>
  </si>
  <si>
    <t>#20 HIC Accuracy and Timeliness</t>
  </si>
  <si>
    <t>Was HIC information  submitted on time?</t>
  </si>
  <si>
    <t xml:space="preserve">RTFH Timeliness report </t>
  </si>
  <si>
    <t>Points earned are tied to current percentage breakdown of potential points.</t>
  </si>
  <si>
    <t>Was HIC information accurate or updated upon request?</t>
  </si>
  <si>
    <t>#21 HMIS Participation</t>
  </si>
  <si>
    <t>Would penalize low % more to incentivize all projects being in HMIS</t>
  </si>
  <si>
    <t>Total number of agency homeless dedicated Beds / units in CoC</t>
  </si>
  <si>
    <t>2017 HIC, All Agency rows Total  Yr Round Beds Columns (See HMIS Participation Chart)</t>
  </si>
  <si>
    <t>Performance Threshold, 90% of agency dedicated beds</t>
  </si>
  <si>
    <t>Total Number of agency homeless dedicated beds / units in HMIS</t>
  </si>
  <si>
    <t>2017 HIC, Agency project rows, total HMIS Yr Round  Beds Column (See HMIS Participation Chart)</t>
  </si>
  <si>
    <t>Percentage of Homeless dedicated beds /units in HMIS</t>
  </si>
  <si>
    <t>HMIS participation adjusts for DV and Underdevelopment Beds</t>
  </si>
  <si>
    <t>Section VI: BONUS POINTS</t>
  </si>
  <si>
    <t>#22  CES Navigation Support</t>
  </si>
  <si>
    <t>Increase points for completing entire tool</t>
  </si>
  <si>
    <t>22.a. Has agency identified one or more Housing  Navigators?   Provide Name(s) below</t>
  </si>
  <si>
    <t>RTFH CES Navigator List</t>
  </si>
  <si>
    <t>Navigator Name(s):</t>
  </si>
  <si>
    <t xml:space="preserve">Name on HMIS - CES Access List </t>
  </si>
  <si>
    <t xml:space="preserve">22.b. Has Navigator placed any persons  assigned to them for navigation with agency other than parent agency? </t>
  </si>
  <si>
    <t>CES Navigator Assignment and Client Exit destination report.</t>
  </si>
  <si>
    <t>#23 Does agency commit that 100 % of all homeless-dedicated projects  will follow CoC Community standards (both HUD and non-HUD funded)?</t>
  </si>
  <si>
    <t>Agency signed commitment form in Dropbox</t>
  </si>
  <si>
    <t>Remove - If TH for youth needed it will be threshold</t>
  </si>
  <si>
    <t>2017 Points Rapid Rehousing (RRH) Renewal Tool</t>
  </si>
  <si>
    <t>Item</t>
  </si>
  <si>
    <t>Description</t>
  </si>
  <si>
    <t>Value</t>
  </si>
  <si>
    <t>Section Total</t>
  </si>
  <si>
    <t xml:space="preserve">Section I </t>
  </si>
  <si>
    <t>Project Performance and Outcomes</t>
  </si>
  <si>
    <t xml:space="preserve">1a </t>
  </si>
  <si>
    <t>Housing Stability -Leavers only</t>
  </si>
  <si>
    <t>1b</t>
  </si>
  <si>
    <t>Housing Stability Improvement - Leavers (2017 scoring vs. 2016 scoring)</t>
  </si>
  <si>
    <t>Total Increased Income - Any Source</t>
  </si>
  <si>
    <t>Increased Earned Income - Adults</t>
  </si>
  <si>
    <t xml:space="preserve">Non-Cash Benefits </t>
  </si>
  <si>
    <t>Mainstream Resourcess</t>
  </si>
  <si>
    <t>6a</t>
  </si>
  <si>
    <t>Rapid Response - Average LoS</t>
  </si>
  <si>
    <t>6b</t>
  </si>
  <si>
    <t>Rapid Return - 90 day Standard</t>
  </si>
  <si>
    <t>Reduction in Average Length of Stay 2015 to 2016</t>
  </si>
  <si>
    <t xml:space="preserve">Housing First  &amp; Low Barrier </t>
  </si>
  <si>
    <t>Section II</t>
  </si>
  <si>
    <t>Resource Utilization</t>
  </si>
  <si>
    <t>9a</t>
  </si>
  <si>
    <t>Cost Comparison - HUD Funds</t>
  </si>
  <si>
    <t>9b</t>
  </si>
  <si>
    <t>Cost Comparison - Total Budget</t>
  </si>
  <si>
    <t>Grant Spend Out</t>
  </si>
  <si>
    <t>Section III</t>
  </si>
  <si>
    <t>Acuity and Special Needs</t>
  </si>
  <si>
    <t>Best Practice Housing Usage</t>
  </si>
  <si>
    <t>High Need- General Disablity Household</t>
  </si>
  <si>
    <t>High Need Priority Populations</t>
  </si>
  <si>
    <t>Residence Prior to Program Entry</t>
  </si>
  <si>
    <t>Section IV</t>
  </si>
  <si>
    <t>CoC System Improvement</t>
  </si>
  <si>
    <t>Preservation of Units/ Beds</t>
  </si>
  <si>
    <t>Fills Subregional Gap</t>
  </si>
  <si>
    <t>Return to Homelessness</t>
  </si>
  <si>
    <t>Section V</t>
  </si>
  <si>
    <t>Data Quality</t>
  </si>
  <si>
    <t>Percent Null Values</t>
  </si>
  <si>
    <t>Timeliness of Data Input</t>
  </si>
  <si>
    <t>HIC Accuracy &amp; Timeliness</t>
  </si>
  <si>
    <t>HMIS Participation (non-CoC beds)</t>
  </si>
  <si>
    <t xml:space="preserve">Section VI </t>
  </si>
  <si>
    <t xml:space="preserve">BONUS </t>
  </si>
  <si>
    <t>22a</t>
  </si>
  <si>
    <t>Housing Navigator</t>
  </si>
  <si>
    <t>22b</t>
  </si>
  <si>
    <t>System Support</t>
  </si>
  <si>
    <t xml:space="preserve">Commitment to Standards </t>
  </si>
  <si>
    <t>TOTAL POINTS</t>
  </si>
  <si>
    <t>2016 Points Rapid Rehousing (RRH) Renewal Tool</t>
  </si>
  <si>
    <t>Points Change</t>
  </si>
  <si>
    <t>Increase 5</t>
  </si>
  <si>
    <t>LOS - Rapid Return to PH (Less than 90 days)</t>
  </si>
  <si>
    <t>Increase 3</t>
  </si>
  <si>
    <t>Rapid return Average LoS</t>
  </si>
  <si>
    <t>Change in Average Length of Stay 2015 to 2016</t>
  </si>
  <si>
    <t>Rapid Return to PH (Less than 90 days)</t>
  </si>
  <si>
    <t>Reduction in Average Length of Stay 2016 to 2017 (scoring tool)</t>
  </si>
  <si>
    <t>Increase 7</t>
  </si>
  <si>
    <t xml:space="preserve"> Bed utilization</t>
  </si>
  <si>
    <t>Cost Effectiveness</t>
  </si>
  <si>
    <t>Decrease 1</t>
  </si>
  <si>
    <t>Special Need - Client Type End  HMLS</t>
  </si>
  <si>
    <t>Location Prior to Entry</t>
  </si>
  <si>
    <t>Decrease 5</t>
  </si>
  <si>
    <t>Priority to Families</t>
  </si>
  <si>
    <t>Percentage Turnover filled by Target</t>
  </si>
  <si>
    <t>Percentage Leavers Return to Homelessness</t>
  </si>
  <si>
    <t>CAHP Participation</t>
  </si>
  <si>
    <t>Change to Eligibility - redistribute 14 pts</t>
  </si>
  <si>
    <t>Commitment to CAHP</t>
  </si>
  <si>
    <t>Participation in CAHP Training</t>
  </si>
  <si>
    <t>Agency Participation in CAHP</t>
  </si>
  <si>
    <t>Section VI</t>
  </si>
  <si>
    <t>No change</t>
  </si>
  <si>
    <t>SWAP Tool completed</t>
  </si>
  <si>
    <t>Section VII</t>
  </si>
  <si>
    <t>100% TAY</t>
  </si>
  <si>
    <t>SELECT LEVEL</t>
  </si>
  <si>
    <t>SELECT FROM DROP DOWN MENU</t>
  </si>
  <si>
    <t>YES</t>
  </si>
  <si>
    <t>LOW</t>
  </si>
  <si>
    <t>Project serves households without children</t>
  </si>
  <si>
    <t>NO</t>
  </si>
  <si>
    <t>MEDIUM</t>
  </si>
  <si>
    <t>Project serves households with children</t>
  </si>
  <si>
    <t>HIGH</t>
  </si>
  <si>
    <t>Project is mixed - serving both households with and without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</si>
</sst>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0.0"/>
    <numFmt numFmtId="167" formatCode="&quot;$&quot;#,##0"/>
    <numFmt numFmtId="168" formatCode="0.000"/>
  </numFmts>
  <fonts count="50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b/>
      <sz val="10"/>
      <color rgb="FFDD0806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11"/>
      <color rgb="FFFF0000"/>
      <name val="Arial"/>
      <family val="2"/>
    </font>
    <font>
      <b/>
      <sz val="9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b/>
      <sz val="14"/>
      <color rgb="FFFFFF00"/>
      <name val="Arial"/>
      <family val="2"/>
    </font>
    <font>
      <sz val="14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color rgb="FFFFFF00"/>
      <name val="Arial"/>
      <family val="2"/>
    </font>
    <font>
      <i/>
      <sz val="10"/>
      <name val="Arial"/>
      <family val="2"/>
    </font>
    <font>
      <sz val="12"/>
      <color rgb="FF9C6500"/>
      <name val="Calibri"/>
      <family val="2"/>
      <scheme val="minor"/>
    </font>
    <font>
      <sz val="10"/>
      <color theme="0"/>
      <name val="Arial"/>
      <family val="2"/>
    </font>
    <font>
      <sz val="11"/>
      <color theme="4" tint="-0.499984740745262"/>
      <name val="Arial"/>
      <family val="2"/>
    </font>
    <font>
      <b/>
      <sz val="12"/>
      <color rgb="FFFF0000"/>
      <name val="Arial"/>
      <family val="2"/>
    </font>
    <font>
      <sz val="14"/>
      <color theme="4"/>
      <name val="Arial"/>
      <family val="2"/>
    </font>
    <font>
      <sz val="10"/>
      <color theme="4"/>
      <name val="Arial"/>
      <family val="2"/>
    </font>
    <font>
      <b/>
      <sz val="10"/>
      <color rgb="FFFFFF00"/>
      <name val="Arial"/>
      <family val="2"/>
    </font>
    <font>
      <b/>
      <sz val="12"/>
      <color rgb="FFFFFF00"/>
      <name val="Arial"/>
      <family val="2"/>
    </font>
    <font>
      <b/>
      <sz val="10"/>
      <color theme="8" tint="-0.499984740745262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Arial"/>
    </font>
    <font>
      <sz val="10"/>
      <color rgb="FFFF0000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</borders>
  <cellStyleXfs count="749">
    <xf numFmtId="0" fontId="0" fillId="0" borderId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</cellStyleXfs>
  <cellXfs count="556">
    <xf numFmtId="0" fontId="0" fillId="0" borderId="0" xfId="0"/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 hidden="1"/>
    </xf>
    <xf numFmtId="1" fontId="0" fillId="0" borderId="1" xfId="0" applyNumberFormat="1" applyFont="1" applyFill="1" applyBorder="1" applyAlignment="1" applyProtection="1">
      <alignment horizontal="center" vertical="center"/>
      <protection locked="0" hidden="1"/>
    </xf>
    <xf numFmtId="3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2" fillId="3" borderId="4" xfId="0" applyNumberFormat="1" applyFont="1" applyFill="1" applyBorder="1" applyAlignment="1" applyProtection="1">
      <alignment horizontal="center" vertical="center"/>
      <protection locked="0"/>
    </xf>
    <xf numFmtId="3" fontId="0" fillId="3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0" fillId="4" borderId="0" xfId="0" applyFill="1" applyAlignment="1">
      <alignment vertical="center"/>
    </xf>
    <xf numFmtId="165" fontId="0" fillId="4" borderId="0" xfId="1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66" fontId="0" fillId="4" borderId="0" xfId="0" applyNumberFormat="1" applyFill="1" applyBorder="1" applyAlignment="1">
      <alignment horizontal="center" vertical="center"/>
    </xf>
    <xf numFmtId="0" fontId="0" fillId="4" borderId="0" xfId="0" applyFont="1" applyFill="1" applyBorder="1" applyAlignment="1" applyProtection="1">
      <alignment horizontal="left" vertical="center" wrapText="1"/>
    </xf>
    <xf numFmtId="9" fontId="0" fillId="4" borderId="0" xfId="1" applyFont="1" applyFill="1" applyBorder="1" applyAlignment="1">
      <alignment horizontal="center" vertical="center"/>
    </xf>
    <xf numFmtId="9" fontId="0" fillId="4" borderId="0" xfId="1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22" fillId="4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horizontal="right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vertical="center" wrapText="1"/>
    </xf>
    <xf numFmtId="1" fontId="25" fillId="7" borderId="3" xfId="0" applyNumberFormat="1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right" vertical="center" wrapText="1"/>
    </xf>
    <xf numFmtId="164" fontId="4" fillId="4" borderId="0" xfId="0" applyNumberFormat="1" applyFont="1" applyFill="1" applyAlignment="1" applyProtection="1">
      <alignment horizontal="center" vertical="center"/>
      <protection locked="0"/>
    </xf>
    <xf numFmtId="10" fontId="4" fillId="4" borderId="0" xfId="0" applyNumberFormat="1" applyFont="1" applyFill="1" applyBorder="1" applyAlignment="1" applyProtection="1">
      <alignment horizontal="center" vertical="center"/>
    </xf>
    <xf numFmtId="0" fontId="25" fillId="7" borderId="4" xfId="0" applyFont="1" applyFill="1" applyBorder="1" applyAlignment="1" applyProtection="1">
      <alignment horizontal="left" vertical="center"/>
    </xf>
    <xf numFmtId="0" fontId="0" fillId="4" borderId="0" xfId="0" applyFill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right" vertical="center"/>
    </xf>
    <xf numFmtId="0" fontId="0" fillId="4" borderId="0" xfId="0" applyFont="1" applyFill="1" applyAlignment="1" applyProtection="1">
      <alignment horizontal="right" vertical="center"/>
    </xf>
    <xf numFmtId="9" fontId="4" fillId="4" borderId="13" xfId="1" applyFont="1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</xf>
    <xf numFmtId="9" fontId="0" fillId="4" borderId="6" xfId="0" applyNumberFormat="1" applyFill="1" applyBorder="1" applyAlignment="1">
      <alignment horizontal="left" vertical="center"/>
    </xf>
    <xf numFmtId="9" fontId="2" fillId="4" borderId="6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6" fillId="4" borderId="0" xfId="730" applyFont="1" applyFill="1" applyBorder="1" applyAlignment="1" applyProtection="1">
      <alignment horizontal="left" vertical="center"/>
    </xf>
    <xf numFmtId="164" fontId="2" fillId="4" borderId="0" xfId="0" applyNumberFormat="1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center" vertical="center"/>
    </xf>
    <xf numFmtId="1" fontId="0" fillId="4" borderId="0" xfId="0" applyNumberFormat="1" applyFill="1" applyBorder="1" applyAlignment="1" applyProtection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left" vertical="center" wrapText="1"/>
    </xf>
    <xf numFmtId="1" fontId="0" fillId="4" borderId="0" xfId="0" applyNumberFormat="1" applyFill="1" applyBorder="1" applyAlignment="1">
      <alignment horizontal="left" vertical="center"/>
    </xf>
    <xf numFmtId="0" fontId="25" fillId="4" borderId="0" xfId="0" applyFont="1" applyFill="1" applyBorder="1" applyAlignment="1" applyProtection="1">
      <alignment horizontal="left" vertical="center" wrapText="1"/>
    </xf>
    <xf numFmtId="0" fontId="4" fillId="4" borderId="0" xfId="0" applyFont="1" applyFill="1" applyAlignment="1" applyProtection="1">
      <alignment horizontal="right" vertical="center"/>
    </xf>
    <xf numFmtId="0" fontId="24" fillId="4" borderId="0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4" borderId="0" xfId="0" applyFont="1" applyFill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4" borderId="0" xfId="0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 wrapText="1"/>
    </xf>
    <xf numFmtId="0" fontId="23" fillId="4" borderId="0" xfId="0" applyFont="1" applyFill="1" applyBorder="1" applyAlignment="1" applyProtection="1">
      <alignment horizontal="right" vertical="center" wrapText="1"/>
    </xf>
    <xf numFmtId="0" fontId="23" fillId="4" borderId="0" xfId="0" applyFont="1" applyFill="1" applyBorder="1" applyAlignment="1" applyProtection="1">
      <alignment horizontal="right" vertical="center"/>
    </xf>
    <xf numFmtId="0" fontId="23" fillId="4" borderId="0" xfId="0" applyFont="1" applyFill="1" applyBorder="1" applyAlignment="1" applyProtection="1">
      <alignment vertical="center" wrapText="1"/>
    </xf>
    <xf numFmtId="0" fontId="23" fillId="4" borderId="0" xfId="0" applyFont="1" applyFill="1" applyBorder="1" applyAlignment="1" applyProtection="1">
      <alignment horizontal="left" vertical="center" indent="1"/>
    </xf>
    <xf numFmtId="0" fontId="23" fillId="6" borderId="0" xfId="0" applyFont="1" applyFill="1" applyBorder="1" applyAlignment="1" applyProtection="1">
      <alignment horizontal="right" vertical="center" wrapText="1"/>
    </xf>
    <xf numFmtId="0" fontId="17" fillId="0" borderId="0" xfId="0" applyFont="1" applyAlignment="1" applyProtection="1">
      <alignment vertical="center"/>
    </xf>
    <xf numFmtId="0" fontId="17" fillId="4" borderId="0" xfId="0" applyFont="1" applyFill="1" applyAlignment="1" applyProtection="1">
      <alignment vertical="center"/>
    </xf>
    <xf numFmtId="0" fontId="17" fillId="4" borderId="0" xfId="0" applyFont="1" applyFill="1" applyBorder="1" applyAlignment="1" applyProtection="1">
      <alignment vertical="center"/>
    </xf>
    <xf numFmtId="0" fontId="23" fillId="6" borderId="0" xfId="0" applyFont="1" applyFill="1" applyBorder="1" applyAlignment="1" applyProtection="1">
      <alignment horizontal="right" vertical="center"/>
    </xf>
    <xf numFmtId="0" fontId="23" fillId="6" borderId="0" xfId="0" applyFont="1" applyFill="1" applyBorder="1" applyAlignment="1" applyProtection="1">
      <alignment vertical="center" wrapText="1"/>
    </xf>
    <xf numFmtId="0" fontId="16" fillId="4" borderId="0" xfId="0" applyFont="1" applyFill="1" applyBorder="1" applyAlignment="1" applyProtection="1">
      <alignment vertical="center" wrapText="1"/>
    </xf>
    <xf numFmtId="0" fontId="2" fillId="4" borderId="0" xfId="0" applyFont="1" applyFill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 wrapText="1"/>
    </xf>
    <xf numFmtId="0" fontId="24" fillId="6" borderId="0" xfId="0" applyFont="1" applyFill="1" applyBorder="1" applyAlignment="1" applyProtection="1">
      <alignment horizontal="left" vertical="center" indent="1"/>
    </xf>
    <xf numFmtId="0" fontId="24" fillId="6" borderId="0" xfId="0" applyFont="1" applyFill="1" applyBorder="1" applyAlignment="1" applyProtection="1">
      <alignment horizontal="right" vertical="center"/>
    </xf>
    <xf numFmtId="0" fontId="24" fillId="6" borderId="0" xfId="0" applyFont="1" applyFill="1" applyBorder="1" applyAlignment="1" applyProtection="1">
      <alignment horizontal="right" vertical="center" wrapText="1"/>
    </xf>
    <xf numFmtId="0" fontId="0" fillId="4" borderId="0" xfId="0" applyFill="1" applyBorder="1" applyAlignment="1" applyProtection="1">
      <alignment horizontal="center" vertical="center"/>
      <protection locked="0"/>
    </xf>
    <xf numFmtId="0" fontId="24" fillId="6" borderId="0" xfId="0" applyFont="1" applyFill="1" applyBorder="1" applyAlignment="1" applyProtection="1">
      <alignment vertical="center" wrapText="1"/>
    </xf>
    <xf numFmtId="0" fontId="25" fillId="4" borderId="0" xfId="0" applyFont="1" applyFill="1" applyBorder="1" applyAlignment="1" applyProtection="1">
      <alignment vertical="center" wrapText="1"/>
    </xf>
    <xf numFmtId="5" fontId="2" fillId="3" borderId="4" xfId="665" applyNumberFormat="1" applyFont="1" applyFill="1" applyBorder="1" applyAlignment="1" applyProtection="1">
      <alignment horizontal="center" vertical="center"/>
      <protection locked="0"/>
    </xf>
    <xf numFmtId="9" fontId="0" fillId="4" borderId="0" xfId="0" applyNumberFormat="1" applyFill="1" applyBorder="1" applyAlignment="1">
      <alignment horizontal="right" vertical="center"/>
    </xf>
    <xf numFmtId="9" fontId="2" fillId="4" borderId="0" xfId="0" applyNumberFormat="1" applyFont="1" applyFill="1" applyBorder="1" applyAlignment="1">
      <alignment horizontal="center" vertical="center"/>
    </xf>
    <xf numFmtId="9" fontId="0" fillId="4" borderId="0" xfId="0" applyNumberFormat="1" applyFill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center" vertical="center"/>
    </xf>
    <xf numFmtId="9" fontId="0" fillId="4" borderId="0" xfId="0" applyNumberFormat="1" applyFill="1" applyBorder="1" applyAlignment="1">
      <alignment horizontal="center" vertical="center"/>
    </xf>
    <xf numFmtId="9" fontId="2" fillId="0" borderId="16" xfId="1" applyFont="1" applyBorder="1" applyAlignment="1" applyProtection="1">
      <alignment horizontal="center" vertical="center"/>
      <protection hidden="1"/>
    </xf>
    <xf numFmtId="9" fontId="2" fillId="0" borderId="1" xfId="1" applyNumberFormat="1" applyFont="1" applyBorder="1" applyAlignment="1" applyProtection="1">
      <alignment horizontal="center" vertical="center"/>
      <protection hidden="1"/>
    </xf>
    <xf numFmtId="0" fontId="26" fillId="4" borderId="0" xfId="0" applyFont="1" applyFill="1" applyBorder="1" applyAlignment="1" applyProtection="1">
      <alignment vertical="center"/>
    </xf>
    <xf numFmtId="1" fontId="2" fillId="4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18" fillId="4" borderId="0" xfId="0" applyNumberFormat="1" applyFont="1" applyFill="1" applyBorder="1" applyAlignment="1" applyProtection="1">
      <alignment horizontal="center" vertical="center"/>
    </xf>
    <xf numFmtId="165" fontId="2" fillId="4" borderId="0" xfId="1" applyNumberFormat="1" applyFont="1" applyFill="1" applyBorder="1" applyAlignment="1" applyProtection="1">
      <alignment horizontal="center" vertical="center"/>
    </xf>
    <xf numFmtId="164" fontId="11" fillId="4" borderId="0" xfId="0" quotePrefix="1" applyNumberFormat="1" applyFont="1" applyFill="1" applyBorder="1" applyAlignment="1" applyProtection="1">
      <alignment horizontal="center" vertical="center" wrapText="1"/>
      <protection hidden="1"/>
    </xf>
    <xf numFmtId="164" fontId="2" fillId="4" borderId="0" xfId="0" applyNumberFormat="1" applyFont="1" applyFill="1" applyBorder="1" applyAlignment="1" applyProtection="1">
      <alignment horizontal="center" vertical="center"/>
    </xf>
    <xf numFmtId="164" fontId="0" fillId="4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vertical="center" wrapText="1"/>
    </xf>
    <xf numFmtId="0" fontId="9" fillId="4" borderId="0" xfId="0" applyFont="1" applyFill="1" applyAlignment="1" applyProtection="1">
      <alignment horizontal="left" vertical="center" wrapText="1"/>
    </xf>
    <xf numFmtId="0" fontId="6" fillId="4" borderId="0" xfId="0" applyFont="1" applyFill="1" applyAlignment="1" applyProtection="1">
      <alignment horizontal="center" vertical="center" wrapText="1"/>
    </xf>
    <xf numFmtId="0" fontId="9" fillId="4" borderId="0" xfId="0" applyFont="1" applyFill="1" applyAlignment="1" applyProtection="1">
      <alignment horizontal="right" vertical="center" wrapText="1"/>
    </xf>
    <xf numFmtId="0" fontId="10" fillId="4" borderId="0" xfId="0" applyFont="1" applyFill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left" vertical="center" wrapText="1"/>
    </xf>
    <xf numFmtId="0" fontId="6" fillId="4" borderId="0" xfId="0" applyFont="1" applyFill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right" vertical="center" wrapText="1"/>
    </xf>
    <xf numFmtId="0" fontId="2" fillId="4" borderId="4" xfId="0" applyFont="1" applyFill="1" applyBorder="1" applyAlignment="1" applyProtection="1">
      <alignment horizontal="right" vertical="center"/>
    </xf>
    <xf numFmtId="0" fontId="4" fillId="4" borderId="4" xfId="0" applyFont="1" applyFill="1" applyBorder="1" applyAlignment="1" applyProtection="1">
      <alignment horizontal="right" vertical="center" wrapText="1"/>
    </xf>
    <xf numFmtId="0" fontId="4" fillId="4" borderId="4" xfId="0" applyFont="1" applyFill="1" applyBorder="1" applyAlignment="1" applyProtection="1">
      <alignment horizontal="right" vertical="center"/>
    </xf>
    <xf numFmtId="0" fontId="10" fillId="4" borderId="6" xfId="0" applyFont="1" applyFill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4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4" borderId="0" xfId="0" applyFont="1" applyFill="1" applyBorder="1" applyAlignment="1">
      <alignment horizontal="center" vertical="center"/>
    </xf>
    <xf numFmtId="165" fontId="25" fillId="7" borderId="3" xfId="0" applyNumberFormat="1" applyFont="1" applyFill="1" applyBorder="1" applyAlignment="1" applyProtection="1">
      <alignment vertical="center" wrapText="1"/>
    </xf>
    <xf numFmtId="49" fontId="5" fillId="3" borderId="1" xfId="0" applyNumberFormat="1" applyFont="1" applyFill="1" applyBorder="1" applyAlignment="1" applyProtection="1">
      <alignment vertical="center" wrapText="1"/>
      <protection locked="0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165" fontId="5" fillId="4" borderId="0" xfId="1" applyNumberFormat="1" applyFont="1" applyFill="1" applyBorder="1" applyAlignment="1" applyProtection="1">
      <alignment horizontal="center" vertical="center"/>
    </xf>
    <xf numFmtId="165" fontId="0" fillId="4" borderId="0" xfId="0" applyNumberFormat="1" applyFill="1" applyBorder="1" applyAlignment="1">
      <alignment horizontal="right" vertical="center"/>
    </xf>
    <xf numFmtId="9" fontId="16" fillId="0" borderId="0" xfId="1" applyFont="1" applyBorder="1" applyAlignment="1" applyProtection="1">
      <alignment horizontal="center" vertical="center"/>
    </xf>
    <xf numFmtId="0" fontId="31" fillId="6" borderId="0" xfId="0" applyFont="1" applyFill="1" applyBorder="1" applyAlignment="1" applyProtection="1">
      <alignment horizontal="left" vertical="center" indent="1"/>
    </xf>
    <xf numFmtId="0" fontId="2" fillId="4" borderId="0" xfId="0" applyFont="1" applyFill="1" applyBorder="1" applyAlignment="1">
      <alignment vertical="center"/>
    </xf>
    <xf numFmtId="9" fontId="0" fillId="0" borderId="0" xfId="0" applyNumberFormat="1" applyAlignment="1" applyProtection="1">
      <alignment horizontal="center" vertical="center"/>
    </xf>
    <xf numFmtId="9" fontId="32" fillId="4" borderId="0" xfId="1" applyFont="1" applyFill="1" applyBorder="1" applyAlignment="1" applyProtection="1">
      <alignment horizontal="center" vertical="center"/>
    </xf>
    <xf numFmtId="0" fontId="32" fillId="4" borderId="0" xfId="0" applyFont="1" applyFill="1" applyAlignment="1" applyProtection="1">
      <alignment vertical="center"/>
    </xf>
    <xf numFmtId="0" fontId="32" fillId="4" borderId="0" xfId="0" applyFont="1" applyFill="1" applyBorder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vertical="center" wrapText="1"/>
    </xf>
    <xf numFmtId="0" fontId="33" fillId="4" borderId="0" xfId="0" applyFont="1" applyFill="1" applyBorder="1" applyAlignment="1" applyProtection="1">
      <alignment horizontal="center" vertical="center"/>
    </xf>
    <xf numFmtId="1" fontId="35" fillId="4" borderId="0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6" fillId="4" borderId="1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</xf>
    <xf numFmtId="165" fontId="5" fillId="0" borderId="3" xfId="1" applyNumberFormat="1" applyFont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right" vertical="center" wrapText="1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0" fillId="4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9" fontId="2" fillId="4" borderId="0" xfId="0" applyNumberFormat="1" applyFont="1" applyFill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horizontal="right" vertical="center"/>
    </xf>
    <xf numFmtId="0" fontId="0" fillId="3" borderId="1" xfId="0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horizontal="right" vertical="center" wrapText="1"/>
    </xf>
    <xf numFmtId="165" fontId="0" fillId="4" borderId="0" xfId="0" applyNumberForma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right" vertical="center" wrapText="1"/>
    </xf>
    <xf numFmtId="165" fontId="9" fillId="4" borderId="1" xfId="0" applyNumberFormat="1" applyFont="1" applyFill="1" applyBorder="1" applyAlignment="1" applyProtection="1">
      <alignment horizontal="right" vertical="center" wrapText="1"/>
    </xf>
    <xf numFmtId="0" fontId="0" fillId="4" borderId="3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164" fontId="2" fillId="4" borderId="0" xfId="0" applyNumberFormat="1" applyFont="1" applyFill="1" applyBorder="1" applyAlignment="1" applyProtection="1">
      <alignment horizontal="center"/>
    </xf>
    <xf numFmtId="164" fontId="2" fillId="4" borderId="0" xfId="0" applyNumberFormat="1" applyFont="1" applyFill="1" applyBorder="1" applyAlignment="1" applyProtection="1">
      <alignment horizontal="center" wrapText="1"/>
    </xf>
    <xf numFmtId="0" fontId="0" fillId="4" borderId="0" xfId="0" applyFill="1" applyBorder="1" applyAlignment="1"/>
    <xf numFmtId="1" fontId="4" fillId="4" borderId="0" xfId="0" applyNumberFormat="1" applyFont="1" applyFill="1" applyBorder="1" applyAlignment="1">
      <alignment horizontal="center"/>
    </xf>
    <xf numFmtId="0" fontId="15" fillId="4" borderId="0" xfId="0" applyFont="1" applyFill="1" applyBorder="1" applyAlignment="1" applyProtection="1">
      <alignment horizontal="center" wrapText="1"/>
    </xf>
    <xf numFmtId="0" fontId="7" fillId="4" borderId="0" xfId="0" applyFont="1" applyFill="1" applyBorder="1" applyAlignment="1" applyProtection="1">
      <alignment horizontal="left" wrapText="1"/>
    </xf>
    <xf numFmtId="0" fontId="2" fillId="4" borderId="0" xfId="0" applyFont="1" applyFill="1" applyBorder="1" applyAlignment="1" applyProtection="1">
      <alignment horizontal="left"/>
    </xf>
    <xf numFmtId="1" fontId="0" fillId="4" borderId="0" xfId="0" applyNumberFormat="1" applyFill="1" applyBorder="1" applyAlignment="1">
      <alignment horizontal="center"/>
    </xf>
    <xf numFmtId="0" fontId="26" fillId="4" borderId="1" xfId="730" applyFont="1" applyFill="1" applyBorder="1" applyAlignment="1" applyProtection="1">
      <alignment horizontal="center" wrapText="1"/>
    </xf>
    <xf numFmtId="0" fontId="0" fillId="4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4" borderId="0" xfId="0" applyFill="1" applyAlignment="1" applyProtection="1">
      <alignment horizontal="center"/>
    </xf>
    <xf numFmtId="1" fontId="0" fillId="4" borderId="0" xfId="0" applyNumberFormat="1" applyFill="1" applyBorder="1" applyAlignment="1">
      <alignment horizontal="left"/>
    </xf>
    <xf numFmtId="0" fontId="0" fillId="4" borderId="0" xfId="0" applyFill="1" applyBorder="1" applyAlignment="1" applyProtection="1">
      <alignment horizontal="center"/>
    </xf>
    <xf numFmtId="0" fontId="26" fillId="4" borderId="0" xfId="730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25" fillId="7" borderId="3" xfId="0" applyFont="1" applyFill="1" applyBorder="1" applyAlignment="1" applyProtection="1">
      <alignment vertical="center" wrapText="1"/>
    </xf>
    <xf numFmtId="0" fontId="25" fillId="7" borderId="3" xfId="0" applyFont="1" applyFill="1" applyBorder="1" applyAlignment="1" applyProtection="1">
      <alignment horizontal="right" vertical="center" wrapText="1"/>
    </xf>
    <xf numFmtId="0" fontId="25" fillId="7" borderId="3" xfId="0" applyFont="1" applyFill="1" applyBorder="1" applyAlignment="1" applyProtection="1">
      <alignment horizontal="right" vertical="center"/>
    </xf>
    <xf numFmtId="0" fontId="2" fillId="4" borderId="0" xfId="0" applyFont="1" applyFill="1" applyBorder="1" applyAlignment="1" applyProtection="1">
      <alignment vertical="center" wrapText="1"/>
    </xf>
    <xf numFmtId="0" fontId="0" fillId="4" borderId="0" xfId="0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right" vertical="center"/>
    </xf>
    <xf numFmtId="0" fontId="0" fillId="0" borderId="1" xfId="0" applyBorder="1"/>
    <xf numFmtId="0" fontId="4" fillId="0" borderId="1" xfId="0" applyFont="1" applyBorder="1"/>
    <xf numFmtId="0" fontId="0" fillId="4" borderId="1" xfId="0" applyFill="1" applyBorder="1"/>
    <xf numFmtId="0" fontId="2" fillId="0" borderId="1" xfId="0" applyFont="1" applyBorder="1"/>
    <xf numFmtId="165" fontId="0" fillId="4" borderId="0" xfId="0" applyNumberForma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hidden="1"/>
    </xf>
    <xf numFmtId="1" fontId="0" fillId="4" borderId="0" xfId="0" applyNumberFormat="1" applyFill="1" applyAlignment="1" applyProtection="1">
      <alignment vertical="center"/>
    </xf>
    <xf numFmtId="1" fontId="2" fillId="4" borderId="0" xfId="0" applyNumberFormat="1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5" fillId="7" borderId="9" xfId="0" applyFont="1" applyFill="1" applyBorder="1" applyAlignment="1" applyProtection="1">
      <alignment horizontal="left" vertical="center" wrapText="1"/>
    </xf>
    <xf numFmtId="10" fontId="0" fillId="0" borderId="1" xfId="0" applyNumberFormat="1" applyBorder="1" applyAlignment="1" applyProtection="1">
      <alignment horizontal="center" vertical="center"/>
    </xf>
    <xf numFmtId="9" fontId="0" fillId="4" borderId="0" xfId="0" applyNumberFormat="1" applyFill="1" applyAlignment="1" applyProtection="1">
      <alignment vertical="center"/>
    </xf>
    <xf numFmtId="9" fontId="0" fillId="4" borderId="1" xfId="0" applyNumberFormat="1" applyFont="1" applyFill="1" applyBorder="1" applyAlignment="1" applyProtection="1">
      <alignment horizontal="center" vertical="center"/>
      <protection locked="0"/>
    </xf>
    <xf numFmtId="9" fontId="0" fillId="4" borderId="1" xfId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right" vertical="center"/>
    </xf>
    <xf numFmtId="3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9" fontId="0" fillId="4" borderId="0" xfId="1" applyFont="1" applyFill="1" applyBorder="1" applyAlignment="1">
      <alignment vertical="center"/>
    </xf>
    <xf numFmtId="1" fontId="0" fillId="4" borderId="0" xfId="0" applyNumberFormat="1" applyFill="1" applyBorder="1" applyAlignment="1">
      <alignment vertical="center"/>
    </xf>
    <xf numFmtId="0" fontId="2" fillId="4" borderId="6" xfId="0" applyFont="1" applyFill="1" applyBorder="1" applyAlignment="1" applyProtection="1">
      <alignment horizontal="center" vertical="center"/>
      <protection locked="0"/>
    </xf>
    <xf numFmtId="9" fontId="2" fillId="4" borderId="3" xfId="0" applyNumberFormat="1" applyFont="1" applyFill="1" applyBorder="1" applyAlignment="1">
      <alignment horizontal="center" vertical="center"/>
    </xf>
    <xf numFmtId="9" fontId="0" fillId="4" borderId="3" xfId="0" applyNumberFormat="1" applyFill="1" applyBorder="1" applyAlignment="1">
      <alignment horizontal="left" vertical="center"/>
    </xf>
    <xf numFmtId="0" fontId="2" fillId="4" borderId="4" xfId="0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2" fillId="4" borderId="5" xfId="0" applyFont="1" applyFill="1" applyBorder="1" applyAlignment="1" applyProtection="1">
      <alignment horizontal="center" vertical="center"/>
      <protection locked="0"/>
    </xf>
    <xf numFmtId="9" fontId="0" fillId="4" borderId="4" xfId="0" applyNumberForma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0" xfId="0" applyFont="1"/>
    <xf numFmtId="0" fontId="4" fillId="4" borderId="0" xfId="0" applyFont="1" applyFill="1" applyAlignment="1">
      <alignment horizontal="center" vertical="center"/>
    </xf>
    <xf numFmtId="1" fontId="20" fillId="4" borderId="0" xfId="0" applyNumberFormat="1" applyFont="1" applyFill="1" applyBorder="1" applyAlignment="1">
      <alignment horizontal="left" vertical="center"/>
    </xf>
    <xf numFmtId="0" fontId="34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vertical="center" wrapText="1"/>
    </xf>
    <xf numFmtId="0" fontId="20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</xf>
    <xf numFmtId="0" fontId="26" fillId="4" borderId="12" xfId="730" applyFont="1" applyFill="1" applyBorder="1" applyAlignment="1" applyProtection="1">
      <alignment horizontal="center" vertical="center" wrapText="1"/>
    </xf>
    <xf numFmtId="1" fontId="0" fillId="0" borderId="6" xfId="0" applyNumberFormat="1" applyFill="1" applyBorder="1" applyAlignment="1">
      <alignment horizontal="center"/>
    </xf>
    <xf numFmtId="0" fontId="20" fillId="4" borderId="0" xfId="0" applyFont="1" applyFill="1" applyBorder="1" applyAlignment="1" applyProtection="1">
      <alignment horizontal="right"/>
    </xf>
    <xf numFmtId="0" fontId="4" fillId="4" borderId="0" xfId="0" applyFont="1" applyFill="1" applyAlignment="1" applyProtection="1">
      <alignment vertical="center"/>
    </xf>
    <xf numFmtId="0" fontId="2" fillId="4" borderId="1" xfId="0" applyFont="1" applyFill="1" applyBorder="1" applyAlignment="1" applyProtection="1">
      <alignment horizontal="right" vertical="center" wrapText="1"/>
    </xf>
    <xf numFmtId="0" fontId="0" fillId="4" borderId="6" xfId="0" applyFill="1" applyBorder="1" applyAlignment="1" applyProtection="1">
      <alignment horizontal="center"/>
    </xf>
    <xf numFmtId="1" fontId="2" fillId="0" borderId="14" xfId="665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1" fontId="5" fillId="8" borderId="18" xfId="0" applyNumberFormat="1" applyFont="1" applyFill="1" applyBorder="1" applyAlignment="1" applyProtection="1">
      <alignment horizontal="center" vertical="center"/>
    </xf>
    <xf numFmtId="0" fontId="27" fillId="4" borderId="0" xfId="730" applyFont="1" applyFill="1" applyBorder="1" applyAlignment="1" applyProtection="1">
      <alignment horizontal="center" vertical="center" wrapText="1"/>
    </xf>
    <xf numFmtId="0" fontId="27" fillId="4" borderId="0" xfId="730" applyFont="1" applyFill="1" applyBorder="1" applyAlignment="1" applyProtection="1">
      <alignment horizontal="center" wrapText="1"/>
    </xf>
    <xf numFmtId="9" fontId="2" fillId="4" borderId="1" xfId="0" applyNumberFormat="1" applyFont="1" applyFill="1" applyBorder="1" applyAlignment="1" applyProtection="1">
      <alignment horizontal="center" vertical="center"/>
      <protection hidden="1"/>
    </xf>
    <xf numFmtId="165" fontId="2" fillId="0" borderId="1" xfId="1" applyNumberFormat="1" applyFont="1" applyFill="1" applyBorder="1" applyAlignment="1" applyProtection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9" fontId="0" fillId="4" borderId="3" xfId="0" applyNumberFormat="1" applyFill="1" applyBorder="1" applyAlignment="1">
      <alignment horizontal="right" vertical="center"/>
    </xf>
    <xf numFmtId="9" fontId="16" fillId="4" borderId="0" xfId="1" applyFont="1" applyFill="1" applyBorder="1" applyAlignment="1" applyProtection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9" fontId="18" fillId="4" borderId="1" xfId="1" applyFont="1" applyFill="1" applyBorder="1" applyAlignment="1" applyProtection="1">
      <alignment horizontal="center" vertical="center"/>
    </xf>
    <xf numFmtId="0" fontId="2" fillId="4" borderId="0" xfId="0" applyNumberFormat="1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9" fontId="0" fillId="4" borderId="0" xfId="0" applyNumberFormat="1" applyFill="1" applyAlignment="1" applyProtection="1">
      <alignment horizontal="center" vertical="center"/>
    </xf>
    <xf numFmtId="165" fontId="5" fillId="0" borderId="2" xfId="1" applyNumberFormat="1" applyFont="1" applyBorder="1" applyAlignment="1" applyProtection="1">
      <alignment horizontal="center" vertical="center"/>
    </xf>
    <xf numFmtId="1" fontId="2" fillId="0" borderId="1" xfId="1" applyNumberFormat="1" applyFont="1" applyBorder="1" applyAlignment="1" applyProtection="1">
      <alignment horizontal="center" vertical="center"/>
    </xf>
    <xf numFmtId="165" fontId="2" fillId="4" borderId="12" xfId="0" applyNumberFormat="1" applyFont="1" applyFill="1" applyBorder="1" applyAlignment="1">
      <alignment horizontal="right" vertical="center"/>
    </xf>
    <xf numFmtId="1" fontId="36" fillId="4" borderId="6" xfId="0" applyNumberFormat="1" applyFont="1" applyFill="1" applyBorder="1" applyAlignment="1">
      <alignment horizontal="center"/>
    </xf>
    <xf numFmtId="0" fontId="0" fillId="4" borderId="10" xfId="0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right" vertical="center"/>
    </xf>
    <xf numFmtId="3" fontId="0" fillId="4" borderId="11" xfId="0" applyNumberFormat="1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right" vertical="center"/>
    </xf>
    <xf numFmtId="3" fontId="0" fillId="4" borderId="3" xfId="0" applyNumberFormat="1" applyFont="1" applyFill="1" applyBorder="1" applyAlignment="1" applyProtection="1">
      <alignment horizontal="center" vertical="center"/>
      <protection locked="0"/>
    </xf>
    <xf numFmtId="165" fontId="0" fillId="4" borderId="2" xfId="0" applyNumberFormat="1" applyFill="1" applyBorder="1" applyAlignment="1">
      <alignment horizontal="right" vertical="center"/>
    </xf>
    <xf numFmtId="165" fontId="0" fillId="4" borderId="5" xfId="0" applyNumberFormat="1" applyFill="1" applyBorder="1" applyAlignment="1">
      <alignment horizontal="right" vertical="center"/>
    </xf>
    <xf numFmtId="9" fontId="2" fillId="0" borderId="1" xfId="1" applyFont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1" fontId="0" fillId="4" borderId="3" xfId="0" applyNumberFormat="1" applyFill="1" applyBorder="1" applyAlignment="1">
      <alignment horizontal="center"/>
    </xf>
    <xf numFmtId="9" fontId="9" fillId="0" borderId="1" xfId="0" applyNumberFormat="1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horizontal="right" vertical="center" wrapText="1"/>
    </xf>
    <xf numFmtId="0" fontId="0" fillId="4" borderId="10" xfId="0" applyFill="1" applyBorder="1" applyAlignment="1" applyProtection="1">
      <alignment vertical="center"/>
    </xf>
    <xf numFmtId="0" fontId="25" fillId="4" borderId="0" xfId="0" applyFont="1" applyFill="1" applyBorder="1" applyAlignment="1" applyProtection="1">
      <alignment horizontal="left" vertical="center"/>
    </xf>
    <xf numFmtId="0" fontId="4" fillId="4" borderId="0" xfId="730" applyFont="1" applyFill="1" applyBorder="1" applyAlignment="1" applyProtection="1">
      <alignment horizontal="left" vertical="center" wrapText="1"/>
    </xf>
    <xf numFmtId="0" fontId="4" fillId="9" borderId="1" xfId="0" applyFont="1" applyFill="1" applyBorder="1" applyAlignment="1" applyProtection="1">
      <alignment horizontal="right" wrapText="1"/>
    </xf>
    <xf numFmtId="0" fontId="26" fillId="7" borderId="4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3" fontId="2" fillId="0" borderId="4" xfId="0" applyNumberFormat="1" applyFont="1" applyFill="1" applyBorder="1" applyAlignment="1" applyProtection="1">
      <alignment horizontal="center" vertical="center"/>
    </xf>
    <xf numFmtId="3" fontId="2" fillId="0" borderId="12" xfId="0" applyNumberFormat="1" applyFont="1" applyFill="1" applyBorder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right" vertical="center"/>
    </xf>
    <xf numFmtId="9" fontId="2" fillId="4" borderId="0" xfId="1" applyFont="1" applyFill="1" applyBorder="1" applyAlignment="1" applyProtection="1">
      <alignment horizontal="center"/>
    </xf>
    <xf numFmtId="9" fontId="2" fillId="4" borderId="0" xfId="1" applyFont="1" applyFill="1" applyBorder="1" applyAlignment="1" applyProtection="1">
      <alignment horizontal="center" vertical="center"/>
    </xf>
    <xf numFmtId="167" fontId="2" fillId="4" borderId="4" xfId="1" applyNumberFormat="1" applyFont="1" applyFill="1" applyBorder="1" applyAlignment="1" applyProtection="1">
      <alignment horizontal="center" vertical="center"/>
    </xf>
    <xf numFmtId="167" fontId="2" fillId="3" borderId="11" xfId="0" applyNumberFormat="1" applyFont="1" applyFill="1" applyBorder="1" applyAlignment="1" applyProtection="1">
      <alignment horizontal="center" vertical="center"/>
      <protection hidden="1"/>
    </xf>
    <xf numFmtId="0" fontId="26" fillId="4" borderId="0" xfId="73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17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32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4" borderId="0" xfId="0" applyFill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0" fontId="26" fillId="4" borderId="1" xfId="730" applyFont="1" applyFill="1" applyBorder="1" applyAlignment="1" applyProtection="1">
      <alignment horizontal="center" vertical="center" wrapText="1"/>
    </xf>
    <xf numFmtId="165" fontId="16" fillId="4" borderId="0" xfId="1" applyNumberFormat="1" applyFont="1" applyFill="1" applyBorder="1" applyAlignment="1" applyProtection="1">
      <alignment horizontal="center" vertical="center"/>
    </xf>
    <xf numFmtId="0" fontId="0" fillId="5" borderId="0" xfId="0" applyFill="1" applyAlignment="1" applyProtection="1">
      <alignment vertical="center" wrapText="1"/>
    </xf>
    <xf numFmtId="0" fontId="17" fillId="5" borderId="0" xfId="0" applyFont="1" applyFill="1" applyAlignment="1" applyProtection="1">
      <alignment vertical="center" wrapText="1"/>
    </xf>
    <xf numFmtId="0" fontId="2" fillId="4" borderId="5" xfId="0" applyFont="1" applyFill="1" applyBorder="1" applyAlignment="1" applyProtection="1">
      <alignment horizontal="left" vertical="center"/>
    </xf>
    <xf numFmtId="1" fontId="2" fillId="4" borderId="0" xfId="0" applyNumberFormat="1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right" vertical="center" wrapText="1"/>
    </xf>
    <xf numFmtId="9" fontId="2" fillId="4" borderId="0" xfId="0" applyNumberFormat="1" applyFont="1" applyFill="1" applyBorder="1" applyAlignment="1" applyProtection="1">
      <alignment horizontal="center" vertical="center"/>
      <protection hidden="1"/>
    </xf>
    <xf numFmtId="9" fontId="0" fillId="4" borderId="12" xfId="0" applyNumberFormat="1" applyFill="1" applyBorder="1" applyAlignment="1">
      <alignment horizontal="right" vertical="center"/>
    </xf>
    <xf numFmtId="0" fontId="31" fillId="6" borderId="4" xfId="0" applyFont="1" applyFill="1" applyBorder="1" applyAlignment="1" applyProtection="1">
      <alignment horizontal="left" vertical="center" indent="1"/>
    </xf>
    <xf numFmtId="0" fontId="23" fillId="6" borderId="3" xfId="0" applyFont="1" applyFill="1" applyBorder="1" applyAlignment="1" applyProtection="1">
      <alignment vertical="center" wrapText="1"/>
    </xf>
    <xf numFmtId="0" fontId="18" fillId="3" borderId="1" xfId="1" applyNumberFormat="1" applyFont="1" applyFill="1" applyBorder="1" applyAlignment="1" applyProtection="1">
      <alignment horizontal="center" vertical="center"/>
    </xf>
    <xf numFmtId="0" fontId="2" fillId="3" borderId="1" xfId="1" applyNumberFormat="1" applyFont="1" applyFill="1" applyBorder="1" applyAlignment="1" applyProtection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 applyProtection="1">
      <alignment horizontal="center" vertical="center"/>
    </xf>
    <xf numFmtId="9" fontId="2" fillId="4" borderId="1" xfId="1" applyFont="1" applyFill="1" applyBorder="1" applyAlignment="1" applyProtection="1">
      <alignment horizontal="center" vertical="center"/>
    </xf>
    <xf numFmtId="1" fontId="18" fillId="3" borderId="11" xfId="1" applyNumberFormat="1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 applyProtection="1">
      <alignment horizontal="left" vertical="center" indent="1"/>
    </xf>
    <xf numFmtId="0" fontId="24" fillId="4" borderId="0" xfId="0" applyFont="1" applyFill="1" applyBorder="1" applyAlignment="1" applyProtection="1">
      <alignment vertical="center" wrapText="1"/>
    </xf>
    <xf numFmtId="0" fontId="24" fillId="4" borderId="0" xfId="0" applyFont="1" applyFill="1" applyBorder="1" applyAlignment="1" applyProtection="1">
      <alignment horizontal="right" vertical="center"/>
    </xf>
    <xf numFmtId="0" fontId="24" fillId="4" borderId="0" xfId="0" applyFont="1" applyFill="1" applyBorder="1" applyAlignment="1" applyProtection="1">
      <alignment horizontal="right" vertical="center" wrapText="1"/>
    </xf>
    <xf numFmtId="0" fontId="17" fillId="4" borderId="0" xfId="0" applyFont="1" applyFill="1" applyAlignment="1" applyProtection="1">
      <alignment vertical="center" wrapText="1"/>
    </xf>
    <xf numFmtId="1" fontId="5" fillId="4" borderId="23" xfId="0" applyNumberFormat="1" applyFont="1" applyFill="1" applyBorder="1" applyAlignment="1" applyProtection="1">
      <alignment horizontal="center" vertical="center"/>
      <protection hidden="1"/>
    </xf>
    <xf numFmtId="1" fontId="5" fillId="4" borderId="23" xfId="0" applyNumberFormat="1" applyFont="1" applyFill="1" applyBorder="1" applyAlignment="1" applyProtection="1">
      <alignment horizontal="center"/>
    </xf>
    <xf numFmtId="1" fontId="8" fillId="4" borderId="24" xfId="0" applyNumberFormat="1" applyFont="1" applyFill="1" applyBorder="1" applyAlignment="1" applyProtection="1">
      <alignment horizontal="center" vertical="center"/>
      <protection hidden="1"/>
    </xf>
    <xf numFmtId="1" fontId="8" fillId="4" borderId="24" xfId="0" applyNumberFormat="1" applyFont="1" applyFill="1" applyBorder="1" applyAlignment="1" applyProtection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6" fillId="0" borderId="0" xfId="0" applyFont="1" applyFill="1" applyAlignment="1" applyProtection="1">
      <alignment vertical="center"/>
    </xf>
    <xf numFmtId="3" fontId="25" fillId="7" borderId="3" xfId="0" applyNumberFormat="1" applyFont="1" applyFill="1" applyBorder="1" applyAlignment="1" applyProtection="1">
      <alignment horizontal="left" vertical="center" wrapText="1"/>
    </xf>
    <xf numFmtId="0" fontId="6" fillId="4" borderId="0" xfId="0" applyFont="1" applyFill="1" applyBorder="1" applyAlignment="1" applyProtection="1">
      <alignment vertical="center" wrapText="1"/>
    </xf>
    <xf numFmtId="0" fontId="28" fillId="0" borderId="0" xfId="0" applyFont="1" applyFill="1" applyAlignment="1" applyProtection="1">
      <alignment vertical="center"/>
    </xf>
    <xf numFmtId="0" fontId="41" fillId="0" borderId="0" xfId="0" applyFont="1" applyFill="1" applyBorder="1" applyAlignment="1" applyProtection="1">
      <alignment vertical="center" wrapText="1"/>
    </xf>
    <xf numFmtId="1" fontId="32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 applyProtection="1">
      <alignment vertical="center" wrapText="1"/>
    </xf>
    <xf numFmtId="1" fontId="6" fillId="4" borderId="0" xfId="0" applyNumberFormat="1" applyFont="1" applyFill="1" applyBorder="1" applyAlignment="1">
      <alignment horizontal="left" vertical="center"/>
    </xf>
    <xf numFmtId="0" fontId="6" fillId="4" borderId="0" xfId="0" applyFont="1" applyFill="1" applyBorder="1" applyAlignment="1" applyProtection="1">
      <alignment vertical="center"/>
    </xf>
    <xf numFmtId="0" fontId="2" fillId="4" borderId="1" xfId="747" applyFont="1" applyFill="1" applyBorder="1" applyAlignment="1" applyProtection="1">
      <alignment vertical="center" wrapText="1"/>
    </xf>
    <xf numFmtId="165" fontId="2" fillId="3" borderId="1" xfId="1" applyNumberFormat="1" applyFont="1" applyFill="1" applyBorder="1" applyAlignment="1" applyProtection="1">
      <alignment horizontal="center" vertical="center"/>
    </xf>
    <xf numFmtId="1" fontId="2" fillId="4" borderId="1" xfId="1" applyNumberFormat="1" applyFont="1" applyFill="1" applyBorder="1" applyAlignment="1" applyProtection="1">
      <alignment horizontal="center" vertical="center"/>
    </xf>
    <xf numFmtId="0" fontId="28" fillId="4" borderId="0" xfId="0" applyFont="1" applyFill="1" applyBorder="1" applyAlignment="1" applyProtection="1">
      <alignment vertical="center" wrapText="1"/>
    </xf>
    <xf numFmtId="9" fontId="0" fillId="4" borderId="5" xfId="0" applyNumberFormat="1" applyFill="1" applyBorder="1" applyAlignment="1">
      <alignment horizontal="right" vertical="center"/>
    </xf>
    <xf numFmtId="0" fontId="2" fillId="4" borderId="6" xfId="0" applyFont="1" applyFill="1" applyBorder="1" applyAlignment="1" applyProtection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0" fontId="2" fillId="4" borderId="0" xfId="0" applyFont="1" applyFill="1" applyAlignment="1" applyProtection="1">
      <alignment horizontal="left" vertical="center"/>
    </xf>
    <xf numFmtId="1" fontId="42" fillId="4" borderId="0" xfId="0" applyNumberFormat="1" applyFont="1" applyFill="1" applyBorder="1" applyAlignment="1">
      <alignment horizontal="left" vertical="center"/>
    </xf>
    <xf numFmtId="0" fontId="28" fillId="4" borderId="0" xfId="0" applyFont="1" applyFill="1" applyAlignment="1" applyProtection="1">
      <alignment vertical="center"/>
    </xf>
    <xf numFmtId="0" fontId="0" fillId="4" borderId="0" xfId="0" applyFill="1"/>
    <xf numFmtId="1" fontId="2" fillId="0" borderId="1" xfId="0" applyNumberFormat="1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6" fillId="7" borderId="4" xfId="0" applyFont="1" applyFill="1" applyBorder="1" applyAlignment="1" applyProtection="1">
      <alignment vertical="center"/>
    </xf>
    <xf numFmtId="0" fontId="26" fillId="7" borderId="3" xfId="0" applyFont="1" applyFill="1" applyBorder="1" applyAlignment="1" applyProtection="1">
      <alignment vertical="center"/>
    </xf>
    <xf numFmtId="1" fontId="40" fillId="7" borderId="3" xfId="0" applyNumberFormat="1" applyFont="1" applyFill="1" applyBorder="1" applyAlignment="1" applyProtection="1">
      <alignment horizontal="center" vertical="center" wrapText="1"/>
    </xf>
    <xf numFmtId="1" fontId="40" fillId="7" borderId="9" xfId="0" applyNumberFormat="1" applyFont="1" applyFill="1" applyBorder="1" applyAlignment="1" applyProtection="1">
      <alignment horizontal="center" vertical="center" wrapText="1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1" fontId="0" fillId="0" borderId="9" xfId="0" applyNumberForma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 applyProtection="1">
      <alignment horizontal="left" vertical="center" wrapText="1"/>
    </xf>
    <xf numFmtId="1" fontId="6" fillId="4" borderId="0" xfId="0" applyNumberFormat="1" applyFont="1" applyFill="1" applyBorder="1" applyAlignment="1" applyProtection="1">
      <alignment horizontal="center" vertical="center"/>
    </xf>
    <xf numFmtId="0" fontId="41" fillId="4" borderId="0" xfId="0" applyFont="1" applyFill="1" applyBorder="1" applyAlignment="1" applyProtection="1">
      <alignment vertical="center" wrapText="1"/>
    </xf>
    <xf numFmtId="0" fontId="20" fillId="0" borderId="1" xfId="0" applyFont="1" applyBorder="1" applyAlignment="1">
      <alignment wrapText="1"/>
    </xf>
    <xf numFmtId="0" fontId="44" fillId="5" borderId="1" xfId="0" applyFont="1" applyFill="1" applyBorder="1" applyAlignment="1">
      <alignment horizontal="right"/>
    </xf>
    <xf numFmtId="0" fontId="44" fillId="5" borderId="1" xfId="0" applyFont="1" applyFill="1" applyBorder="1" applyAlignment="1">
      <alignment horizontal="left"/>
    </xf>
    <xf numFmtId="0" fontId="44" fillId="5" borderId="1" xfId="0" applyFont="1" applyFill="1" applyBorder="1" applyAlignment="1">
      <alignment horizontal="left" vertical="center"/>
    </xf>
    <xf numFmtId="0" fontId="44" fillId="11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4" fillId="11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4" fillId="11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44" fillId="4" borderId="1" xfId="0" applyFont="1" applyFill="1" applyBorder="1"/>
    <xf numFmtId="0" fontId="44" fillId="11" borderId="1" xfId="0" applyFont="1" applyFill="1" applyBorder="1" applyAlignment="1">
      <alignment horizontal="center"/>
    </xf>
    <xf numFmtId="0" fontId="44" fillId="11" borderId="1" xfId="0" applyFont="1" applyFill="1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5" fillId="7" borderId="9" xfId="730" applyFont="1" applyFill="1" applyBorder="1" applyAlignment="1" applyProtection="1">
      <alignment horizontal="left" vertical="center" wrapText="1"/>
    </xf>
    <xf numFmtId="0" fontId="25" fillId="7" borderId="3" xfId="730" applyFont="1" applyFill="1" applyBorder="1" applyAlignment="1" applyProtection="1">
      <alignment horizontal="right" vertical="center" wrapText="1"/>
    </xf>
    <xf numFmtId="0" fontId="25" fillId="7" borderId="3" xfId="730" applyFont="1" applyFill="1" applyBorder="1" applyAlignment="1" applyProtection="1">
      <alignment horizontal="left" vertical="center" wrapText="1"/>
    </xf>
    <xf numFmtId="0" fontId="25" fillId="7" borderId="3" xfId="730" applyFont="1" applyFill="1" applyBorder="1" applyAlignment="1" applyProtection="1">
      <alignment horizontal="right" vertical="center"/>
    </xf>
    <xf numFmtId="0" fontId="25" fillId="7" borderId="3" xfId="730" applyFont="1" applyFill="1" applyBorder="1" applyAlignment="1" applyProtection="1">
      <alignment vertical="center" wrapText="1"/>
    </xf>
    <xf numFmtId="0" fontId="25" fillId="7" borderId="4" xfId="730" applyFont="1" applyFill="1" applyBorder="1" applyAlignment="1" applyProtection="1">
      <alignment horizontal="left" vertical="center"/>
    </xf>
    <xf numFmtId="0" fontId="2" fillId="0" borderId="1" xfId="730" applyFont="1" applyFill="1" applyBorder="1" applyAlignment="1" applyProtection="1">
      <alignment vertical="center" wrapText="1"/>
    </xf>
    <xf numFmtId="165" fontId="25" fillId="7" borderId="3" xfId="730" applyNumberFormat="1" applyFont="1" applyFill="1" applyBorder="1" applyAlignment="1" applyProtection="1">
      <alignment vertical="center" wrapText="1"/>
    </xf>
    <xf numFmtId="0" fontId="40" fillId="0" borderId="1" xfId="730" applyFont="1" applyFill="1" applyBorder="1" applyAlignment="1" applyProtection="1">
      <alignment horizontal="left" vertical="center"/>
    </xf>
    <xf numFmtId="0" fontId="20" fillId="0" borderId="1" xfId="0" applyFont="1" applyBorder="1" applyAlignment="1">
      <alignment vertical="center" wrapText="1"/>
    </xf>
    <xf numFmtId="0" fontId="44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4" fillId="11" borderId="1" xfId="0" applyFont="1" applyFill="1" applyBorder="1" applyAlignment="1">
      <alignment vertical="center"/>
    </xf>
    <xf numFmtId="0" fontId="4" fillId="9" borderId="0" xfId="0" applyFont="1" applyFill="1"/>
    <xf numFmtId="0" fontId="2" fillId="13" borderId="0" xfId="0" applyFont="1" applyFill="1"/>
    <xf numFmtId="9" fontId="2" fillId="4" borderId="4" xfId="0" applyNumberFormat="1" applyFont="1" applyFill="1" applyBorder="1" applyAlignment="1">
      <alignment horizontal="right" vertical="center"/>
    </xf>
    <xf numFmtId="9" fontId="2" fillId="4" borderId="9" xfId="0" applyNumberFormat="1" applyFont="1" applyFill="1" applyBorder="1" applyAlignment="1">
      <alignment horizontal="left" vertical="center"/>
    </xf>
    <xf numFmtId="9" fontId="2" fillId="4" borderId="6" xfId="0" applyNumberFormat="1" applyFont="1" applyFill="1" applyBorder="1" applyAlignment="1">
      <alignment horizontal="right" vertical="center"/>
    </xf>
    <xf numFmtId="9" fontId="2" fillId="4" borderId="6" xfId="0" applyNumberFormat="1" applyFont="1" applyFill="1" applyBorder="1" applyAlignment="1">
      <alignment horizontal="left" vertical="center"/>
    </xf>
    <xf numFmtId="9" fontId="0" fillId="4" borderId="4" xfId="0" applyNumberFormat="1" applyFill="1" applyBorder="1" applyAlignment="1">
      <alignment horizontal="right" vertical="center"/>
    </xf>
    <xf numFmtId="9" fontId="0" fillId="4" borderId="9" xfId="0" applyNumberFormat="1" applyFill="1" applyBorder="1" applyAlignment="1">
      <alignment horizontal="left" vertical="center"/>
    </xf>
    <xf numFmtId="9" fontId="4" fillId="4" borderId="0" xfId="1" applyFont="1" applyFill="1" applyBorder="1" applyAlignment="1" applyProtection="1">
      <alignment horizontal="center" vertical="center"/>
    </xf>
    <xf numFmtId="9" fontId="2" fillId="4" borderId="3" xfId="0" applyNumberFormat="1" applyFont="1" applyFill="1" applyBorder="1" applyAlignment="1">
      <alignment horizontal="left" vertical="center"/>
    </xf>
    <xf numFmtId="0" fontId="46" fillId="14" borderId="1" xfId="747" applyFont="1" applyFill="1" applyBorder="1" applyAlignment="1" applyProtection="1">
      <alignment vertical="center" wrapText="1"/>
    </xf>
    <xf numFmtId="0" fontId="2" fillId="14" borderId="0" xfId="0" applyFont="1" applyFill="1" applyAlignment="1" applyProtection="1">
      <alignment vertical="center" wrapText="1"/>
    </xf>
    <xf numFmtId="0" fontId="0" fillId="14" borderId="0" xfId="0" applyFill="1" applyAlignment="1" applyProtection="1">
      <alignment horizontal="center" vertical="center"/>
    </xf>
    <xf numFmtId="0" fontId="0" fillId="14" borderId="0" xfId="0" applyFill="1" applyAlignment="1" applyProtection="1">
      <alignment vertical="center"/>
    </xf>
    <xf numFmtId="0" fontId="26" fillId="4" borderId="4" xfId="730" applyFont="1" applyFill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vertical="center" wrapText="1"/>
    </xf>
    <xf numFmtId="0" fontId="18" fillId="0" borderId="1" xfId="0" applyFont="1" applyBorder="1" applyAlignment="1" applyProtection="1">
      <alignment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0" borderId="8" xfId="0" applyFont="1" applyBorder="1" applyAlignment="1" applyProtection="1">
      <alignment vertical="center"/>
    </xf>
    <xf numFmtId="0" fontId="18" fillId="0" borderId="1" xfId="0" applyFont="1" applyBorder="1" applyAlignment="1" applyProtection="1">
      <alignment vertical="center"/>
    </xf>
    <xf numFmtId="9" fontId="2" fillId="4" borderId="9" xfId="1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/>
    </xf>
    <xf numFmtId="1" fontId="2" fillId="4" borderId="9" xfId="0" applyNumberFormat="1" applyFont="1" applyFill="1" applyBorder="1" applyAlignment="1">
      <alignment horizontal="center" vertical="center"/>
    </xf>
    <xf numFmtId="0" fontId="25" fillId="4" borderId="0" xfId="0" applyFont="1" applyFill="1" applyBorder="1" applyAlignment="1" applyProtection="1">
      <alignment horizontal="right" vertical="center" wrapText="1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right" vertical="center" wrapText="1"/>
    </xf>
    <xf numFmtId="9" fontId="2" fillId="4" borderId="3" xfId="1" applyFont="1" applyFill="1" applyBorder="1" applyAlignment="1" applyProtection="1">
      <alignment horizontal="center" vertical="center"/>
    </xf>
    <xf numFmtId="2" fontId="0" fillId="4" borderId="0" xfId="0" applyNumberFormat="1" applyFill="1" applyBorder="1" applyAlignment="1">
      <alignment horizontal="center" vertical="center"/>
    </xf>
    <xf numFmtId="168" fontId="0" fillId="4" borderId="0" xfId="0" applyNumberFormat="1" applyFill="1" applyBorder="1" applyAlignment="1">
      <alignment horizontal="center" vertical="center"/>
    </xf>
    <xf numFmtId="0" fontId="2" fillId="4" borderId="11" xfId="0" applyFont="1" applyFill="1" applyBorder="1" applyAlignment="1" applyProtection="1">
      <alignment vertical="center" wrapText="1"/>
    </xf>
    <xf numFmtId="0" fontId="2" fillId="4" borderId="6" xfId="0" applyFont="1" applyFill="1" applyBorder="1" applyAlignment="1" applyProtection="1">
      <alignment vertical="center" wrapText="1"/>
    </xf>
    <xf numFmtId="0" fontId="20" fillId="0" borderId="16" xfId="0" applyFont="1" applyFill="1" applyBorder="1" applyAlignment="1">
      <alignment wrapText="1"/>
    </xf>
    <xf numFmtId="1" fontId="47" fillId="8" borderId="18" xfId="0" applyNumberFormat="1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1" fontId="2" fillId="4" borderId="1" xfId="0" applyNumberFormat="1" applyFont="1" applyFill="1" applyBorder="1" applyAlignment="1">
      <alignment horizontal="center" vertical="center"/>
    </xf>
    <xf numFmtId="0" fontId="25" fillId="4" borderId="3" xfId="0" applyFont="1" applyFill="1" applyBorder="1" applyAlignment="1" applyProtection="1">
      <alignment horizontal="left" vertical="center" wrapText="1"/>
    </xf>
    <xf numFmtId="0" fontId="25" fillId="4" borderId="3" xfId="0" applyFont="1" applyFill="1" applyBorder="1" applyAlignment="1" applyProtection="1">
      <alignment vertical="center" wrapText="1"/>
    </xf>
    <xf numFmtId="165" fontId="25" fillId="4" borderId="3" xfId="0" applyNumberFormat="1" applyFont="1" applyFill="1" applyBorder="1" applyAlignment="1" applyProtection="1">
      <alignment vertical="center" wrapText="1"/>
    </xf>
    <xf numFmtId="0" fontId="25" fillId="4" borderId="3" xfId="0" applyFont="1" applyFill="1" applyBorder="1" applyAlignment="1" applyProtection="1">
      <alignment horizontal="right" vertical="center" wrapText="1"/>
    </xf>
    <xf numFmtId="0" fontId="25" fillId="4" borderId="9" xfId="0" applyFont="1" applyFill="1" applyBorder="1" applyAlignment="1" applyProtection="1">
      <alignment horizontal="left" vertical="center" wrapText="1"/>
    </xf>
    <xf numFmtId="0" fontId="16" fillId="4" borderId="9" xfId="0" applyFont="1" applyFill="1" applyBorder="1" applyAlignment="1" applyProtection="1">
      <alignment horizontal="center" vertical="center" wrapText="1"/>
    </xf>
    <xf numFmtId="1" fontId="2" fillId="3" borderId="1" xfId="1" applyNumberFormat="1" applyFont="1" applyFill="1" applyBorder="1" applyAlignment="1" applyProtection="1">
      <alignment horizontal="center" vertical="center"/>
    </xf>
    <xf numFmtId="0" fontId="48" fillId="4" borderId="0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horizontal="left" vertical="center" wrapText="1"/>
    </xf>
    <xf numFmtId="0" fontId="49" fillId="4" borderId="0" xfId="0" applyFont="1" applyFill="1" applyAlignment="1" applyProtection="1">
      <alignment vertical="center" wrapText="1"/>
    </xf>
    <xf numFmtId="0" fontId="26" fillId="4" borderId="3" xfId="73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0" xfId="0" applyFont="1" applyFill="1" applyAlignment="1" applyProtection="1">
      <alignment horizontal="right" vertical="center" wrapText="1"/>
    </xf>
    <xf numFmtId="0" fontId="0" fillId="4" borderId="0" xfId="0" applyFont="1" applyFill="1" applyAlignment="1" applyProtection="1">
      <alignment horizontal="right" vertical="center" wrapText="1"/>
    </xf>
    <xf numFmtId="0" fontId="25" fillId="7" borderId="3" xfId="0" applyFont="1" applyFill="1" applyBorder="1" applyAlignment="1" applyProtection="1">
      <alignment horizontal="left" vertical="center" wrapText="1"/>
    </xf>
    <xf numFmtId="0" fontId="14" fillId="4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left" vertical="center" wrapText="1"/>
    </xf>
    <xf numFmtId="9" fontId="4" fillId="2" borderId="11" xfId="1" applyNumberFormat="1" applyFont="1" applyFill="1" applyBorder="1" applyAlignment="1" applyProtection="1">
      <alignment horizontal="center" vertical="center"/>
      <protection locked="0"/>
    </xf>
    <xf numFmtId="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left" vertical="center"/>
    </xf>
    <xf numFmtId="1" fontId="39" fillId="4" borderId="5" xfId="0" applyNumberFormat="1" applyFont="1" applyFill="1" applyBorder="1" applyAlignment="1" applyProtection="1">
      <alignment horizontal="center" vertical="center"/>
    </xf>
    <xf numFmtId="1" fontId="39" fillId="4" borderId="0" xfId="0" applyNumberFormat="1" applyFont="1" applyFill="1" applyBorder="1" applyAlignment="1" applyProtection="1">
      <alignment horizontal="center" vertical="center"/>
    </xf>
    <xf numFmtId="0" fontId="26" fillId="4" borderId="12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center" vertical="center" wrapText="1"/>
    </xf>
    <xf numFmtId="0" fontId="26" fillId="4" borderId="10" xfId="0" applyFont="1" applyFill="1" applyBorder="1" applyAlignment="1" applyProtection="1">
      <alignment horizontal="center" vertical="center" wrapText="1"/>
    </xf>
    <xf numFmtId="0" fontId="26" fillId="4" borderId="14" xfId="0" applyFont="1" applyFill="1" applyBorder="1" applyAlignment="1" applyProtection="1">
      <alignment horizontal="center" vertical="center" wrapText="1"/>
    </xf>
    <xf numFmtId="0" fontId="26" fillId="4" borderId="2" xfId="0" applyFont="1" applyFill="1" applyBorder="1" applyAlignment="1" applyProtection="1">
      <alignment horizontal="center" vertical="center" wrapText="1"/>
    </xf>
    <xf numFmtId="0" fontId="26" fillId="4" borderId="15" xfId="0" applyFont="1" applyFill="1" applyBorder="1" applyAlignment="1" applyProtection="1">
      <alignment horizontal="center" vertical="center" wrapText="1"/>
    </xf>
    <xf numFmtId="1" fontId="39" fillId="4" borderId="12" xfId="0" applyNumberFormat="1" applyFont="1" applyFill="1" applyBorder="1" applyAlignment="1" applyProtection="1">
      <alignment horizontal="center" vertical="center"/>
    </xf>
    <xf numFmtId="1" fontId="39" fillId="4" borderId="6" xfId="0" applyNumberFormat="1" applyFont="1" applyFill="1" applyBorder="1" applyAlignment="1" applyProtection="1">
      <alignment horizontal="center" vertical="center"/>
    </xf>
    <xf numFmtId="1" fontId="40" fillId="4" borderId="4" xfId="0" applyNumberFormat="1" applyFont="1" applyFill="1" applyBorder="1" applyAlignment="1" applyProtection="1">
      <alignment horizontal="center" vertical="center" wrapText="1"/>
    </xf>
    <xf numFmtId="1" fontId="40" fillId="4" borderId="3" xfId="0" applyNumberFormat="1" applyFont="1" applyFill="1" applyBorder="1" applyAlignment="1" applyProtection="1">
      <alignment horizontal="center" vertical="center" wrapText="1"/>
    </xf>
    <xf numFmtId="1" fontId="40" fillId="4" borderId="9" xfId="0" applyNumberFormat="1" applyFont="1" applyFill="1" applyBorder="1" applyAlignment="1" applyProtection="1">
      <alignment horizontal="center" vertical="center" wrapText="1"/>
    </xf>
    <xf numFmtId="9" fontId="0" fillId="4" borderId="4" xfId="0" applyNumberFormat="1" applyFill="1" applyBorder="1" applyAlignment="1">
      <alignment horizontal="center" vertical="center"/>
    </xf>
    <xf numFmtId="9" fontId="0" fillId="4" borderId="3" xfId="0" applyNumberFormat="1" applyFill="1" applyBorder="1" applyAlignment="1">
      <alignment horizontal="center" vertical="center"/>
    </xf>
    <xf numFmtId="9" fontId="0" fillId="4" borderId="9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0" fontId="25" fillId="7" borderId="4" xfId="0" applyFont="1" applyFill="1" applyBorder="1" applyAlignment="1" applyProtection="1">
      <alignment horizontal="left" vertical="center" wrapText="1"/>
    </xf>
    <xf numFmtId="0" fontId="25" fillId="7" borderId="3" xfId="0" applyFont="1" applyFill="1" applyBorder="1" applyAlignment="1" applyProtection="1">
      <alignment horizontal="left" vertical="center" wrapText="1"/>
    </xf>
    <xf numFmtId="0" fontId="40" fillId="4" borderId="4" xfId="0" applyFont="1" applyFill="1" applyBorder="1" applyAlignment="1" applyProtection="1">
      <alignment horizontal="center" vertical="center" wrapText="1"/>
    </xf>
    <xf numFmtId="0" fontId="40" fillId="4" borderId="3" xfId="0" applyFont="1" applyFill="1" applyBorder="1" applyAlignment="1" applyProtection="1">
      <alignment horizontal="center" vertical="center" wrapText="1"/>
    </xf>
    <xf numFmtId="0" fontId="40" fillId="4" borderId="9" xfId="0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26" fillId="4" borderId="25" xfId="73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1" fontId="5" fillId="8" borderId="19" xfId="0" applyNumberFormat="1" applyFont="1" applyFill="1" applyBorder="1" applyAlignment="1" applyProtection="1">
      <alignment horizontal="center" vertical="center"/>
      <protection hidden="1"/>
    </xf>
    <xf numFmtId="1" fontId="5" fillId="8" borderId="20" xfId="0" applyNumberFormat="1" applyFont="1" applyFill="1" applyBorder="1" applyAlignment="1" applyProtection="1">
      <alignment horizontal="center" vertical="center"/>
      <protection hidden="1"/>
    </xf>
    <xf numFmtId="1" fontId="5" fillId="8" borderId="21" xfId="0" applyNumberFormat="1" applyFont="1" applyFill="1" applyBorder="1" applyAlignment="1" applyProtection="1">
      <alignment horizontal="center" vertical="center"/>
      <protection hidden="1"/>
    </xf>
    <xf numFmtId="0" fontId="11" fillId="4" borderId="17" xfId="0" applyFont="1" applyFill="1" applyBorder="1" applyAlignment="1" applyProtection="1">
      <alignment horizontal="left" vertical="center"/>
    </xf>
    <xf numFmtId="0" fontId="11" fillId="4" borderId="22" xfId="0" applyFont="1" applyFill="1" applyBorder="1" applyAlignment="1" applyProtection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0" fontId="25" fillId="4" borderId="11" xfId="0" applyFont="1" applyFill="1" applyBorder="1" applyAlignment="1" applyProtection="1">
      <alignment horizontal="center" wrapText="1"/>
    </xf>
    <xf numFmtId="0" fontId="25" fillId="4" borderId="8" xfId="0" applyFont="1" applyFill="1" applyBorder="1" applyAlignment="1" applyProtection="1">
      <alignment horizontal="center" wrapText="1"/>
    </xf>
    <xf numFmtId="0" fontId="2" fillId="4" borderId="6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2" fillId="6" borderId="7" xfId="0" applyFont="1" applyFill="1" applyBorder="1" applyAlignment="1" applyProtection="1">
      <alignment horizontal="center" vertical="center" wrapText="1"/>
    </xf>
    <xf numFmtId="0" fontId="22" fillId="6" borderId="0" xfId="0" applyFont="1" applyFill="1" applyBorder="1" applyAlignment="1" applyProtection="1">
      <alignment horizontal="center" vertical="center" wrapText="1"/>
    </xf>
    <xf numFmtId="0" fontId="31" fillId="5" borderId="7" xfId="0" applyFont="1" applyFill="1" applyBorder="1" applyAlignment="1" applyProtection="1">
      <alignment horizontal="center" vertical="center" wrapText="1"/>
    </xf>
    <xf numFmtId="0" fontId="31" fillId="5" borderId="0" xfId="0" applyFont="1" applyFill="1" applyBorder="1" applyAlignment="1" applyProtection="1">
      <alignment horizontal="center" vertical="center" wrapText="1"/>
    </xf>
    <xf numFmtId="165" fontId="4" fillId="2" borderId="11" xfId="1" applyNumberFormat="1" applyFont="1" applyFill="1" applyBorder="1" applyAlignment="1" applyProtection="1">
      <alignment horizontal="center" vertical="center"/>
      <protection locked="0"/>
    </xf>
    <xf numFmtId="165" fontId="4" fillId="2" borderId="8" xfId="1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right" vertical="center" wrapText="1"/>
    </xf>
    <xf numFmtId="0" fontId="0" fillId="4" borderId="0" xfId="0" applyFont="1" applyFill="1" applyAlignment="1" applyProtection="1">
      <alignment horizontal="right" vertical="center" wrapText="1"/>
    </xf>
    <xf numFmtId="1" fontId="8" fillId="8" borderId="19" xfId="0" applyNumberFormat="1" applyFont="1" applyFill="1" applyBorder="1" applyAlignment="1" applyProtection="1">
      <alignment horizontal="center" vertical="center"/>
      <protection hidden="1"/>
    </xf>
    <xf numFmtId="1" fontId="8" fillId="8" borderId="20" xfId="0" applyNumberFormat="1" applyFont="1" applyFill="1" applyBorder="1" applyAlignment="1" applyProtection="1">
      <alignment horizontal="center" vertical="center"/>
      <protection hidden="1"/>
    </xf>
    <xf numFmtId="1" fontId="8" fillId="8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40" fillId="4" borderId="4" xfId="730" applyFont="1" applyFill="1" applyBorder="1" applyAlignment="1" applyProtection="1">
      <alignment horizontal="center" vertical="center" wrapText="1"/>
    </xf>
    <xf numFmtId="0" fontId="40" fillId="4" borderId="3" xfId="730" applyFont="1" applyFill="1" applyBorder="1" applyAlignment="1" applyProtection="1">
      <alignment horizontal="center" vertical="center" wrapText="1"/>
    </xf>
    <xf numFmtId="0" fontId="40" fillId="4" borderId="9" xfId="730" applyFont="1" applyFill="1" applyBorder="1" applyAlignment="1" applyProtection="1">
      <alignment horizontal="center" vertical="center" wrapText="1"/>
    </xf>
    <xf numFmtId="0" fontId="27" fillId="4" borderId="4" xfId="0" applyFont="1" applyFill="1" applyBorder="1" applyAlignment="1" applyProtection="1">
      <alignment horizontal="center" vertical="center" wrapText="1"/>
    </xf>
    <xf numFmtId="0" fontId="27" fillId="4" borderId="3" xfId="0" applyFont="1" applyFill="1" applyBorder="1" applyAlignment="1" applyProtection="1">
      <alignment horizontal="center" vertical="center" wrapText="1"/>
    </xf>
    <xf numFmtId="0" fontId="27" fillId="4" borderId="9" xfId="0" applyFont="1" applyFill="1" applyBorder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165" fontId="5" fillId="4" borderId="4" xfId="1" applyNumberFormat="1" applyFont="1" applyFill="1" applyBorder="1" applyAlignment="1" applyProtection="1">
      <alignment horizontal="center" vertical="center"/>
    </xf>
    <xf numFmtId="165" fontId="5" fillId="4" borderId="3" xfId="1" applyNumberFormat="1" applyFont="1" applyFill="1" applyBorder="1" applyAlignment="1" applyProtection="1">
      <alignment horizontal="center" vertical="center"/>
    </xf>
    <xf numFmtId="165" fontId="5" fillId="4" borderId="9" xfId="1" applyNumberFormat="1" applyFont="1" applyFill="1" applyBorder="1" applyAlignment="1" applyProtection="1">
      <alignment horizontal="center" vertical="center"/>
    </xf>
    <xf numFmtId="0" fontId="26" fillId="4" borderId="3" xfId="730" applyFont="1" applyFill="1" applyBorder="1" applyAlignment="1" applyProtection="1">
      <alignment horizontal="center" vertical="center" wrapText="1"/>
    </xf>
    <xf numFmtId="0" fontId="26" fillId="4" borderId="9" xfId="730" applyFont="1" applyFill="1" applyBorder="1" applyAlignment="1" applyProtection="1">
      <alignment horizontal="center" vertical="center" wrapText="1"/>
    </xf>
    <xf numFmtId="1" fontId="27" fillId="4" borderId="4" xfId="0" applyNumberFormat="1" applyFont="1" applyFill="1" applyBorder="1" applyAlignment="1" applyProtection="1">
      <alignment horizontal="center" vertical="center" wrapText="1"/>
    </xf>
    <xf numFmtId="1" fontId="27" fillId="4" borderId="3" xfId="0" applyNumberFormat="1" applyFont="1" applyFill="1" applyBorder="1" applyAlignment="1" applyProtection="1">
      <alignment horizontal="center" vertical="center" wrapText="1"/>
    </xf>
    <xf numFmtId="1" fontId="27" fillId="4" borderId="9" xfId="0" applyNumberFormat="1" applyFont="1" applyFill="1" applyBorder="1" applyAlignment="1" applyProtection="1">
      <alignment horizontal="center" vertical="center" wrapText="1"/>
    </xf>
    <xf numFmtId="0" fontId="27" fillId="4" borderId="12" xfId="0" applyFont="1" applyFill="1" applyBorder="1" applyAlignment="1" applyProtection="1">
      <alignment horizontal="center" vertical="center" wrapText="1"/>
    </xf>
    <xf numFmtId="0" fontId="27" fillId="4" borderId="6" xfId="0" applyFont="1" applyFill="1" applyBorder="1" applyAlignment="1" applyProtection="1">
      <alignment horizontal="center" vertical="center" wrapText="1"/>
    </xf>
    <xf numFmtId="0" fontId="27" fillId="4" borderId="10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0" xfId="0" applyFont="1" applyFill="1" applyAlignment="1" applyProtection="1">
      <alignment horizontal="center" vertical="center" wrapText="1"/>
    </xf>
    <xf numFmtId="0" fontId="45" fillId="5" borderId="4" xfId="0" applyFont="1" applyFill="1" applyBorder="1" applyAlignment="1">
      <alignment horizontal="center"/>
    </xf>
    <xf numFmtId="0" fontId="45" fillId="5" borderId="3" xfId="0" applyFont="1" applyFill="1" applyBorder="1" applyAlignment="1">
      <alignment horizontal="center"/>
    </xf>
    <xf numFmtId="0" fontId="45" fillId="5" borderId="9" xfId="0" applyFont="1" applyFill="1" applyBorder="1" applyAlignment="1">
      <alignment horizontal="center"/>
    </xf>
    <xf numFmtId="0" fontId="23" fillId="12" borderId="4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/>
    </xf>
    <xf numFmtId="0" fontId="23" fillId="12" borderId="9" xfId="0" applyFont="1" applyFill="1" applyBorder="1" applyAlignment="1">
      <alignment horizontal="center"/>
    </xf>
    <xf numFmtId="0" fontId="11" fillId="4" borderId="0" xfId="0" applyFont="1" applyFill="1" applyBorder="1" applyAlignment="1" applyProtection="1">
      <alignment horizontal="left" vertical="center" wrapText="1"/>
    </xf>
  </cellXfs>
  <cellStyles count="749">
    <cellStyle name="Comma 2" xfId="348" xr:uid="{00000000-0005-0000-0000-000000000000}"/>
    <cellStyle name="Currency" xfId="665" builtinId="4"/>
    <cellStyle name="Followed Hyperlink" xfId="432" builtinId="9" hidden="1"/>
    <cellStyle name="Followed Hyperlink" xfId="418" builtinId="9" hidden="1"/>
    <cellStyle name="Followed Hyperlink" xfId="709" builtinId="9" hidden="1"/>
    <cellStyle name="Followed Hyperlink" xfId="251" builtinId="9" hidden="1"/>
    <cellStyle name="Followed Hyperlink" xfId="362" builtinId="9" hidden="1"/>
    <cellStyle name="Followed Hyperlink" xfId="542" builtinId="9" hidden="1"/>
    <cellStyle name="Followed Hyperlink" xfId="606" builtinId="9" hidden="1"/>
    <cellStyle name="Followed Hyperlink" xfId="249" builtinId="9" hidden="1"/>
    <cellStyle name="Followed Hyperlink" xfId="51" builtinId="9" hidden="1"/>
    <cellStyle name="Followed Hyperlink" xfId="648" builtinId="9" hidden="1"/>
    <cellStyle name="Followed Hyperlink" xfId="273" builtinId="9" hidden="1"/>
    <cellStyle name="Followed Hyperlink" xfId="205" builtinId="9" hidden="1"/>
    <cellStyle name="Followed Hyperlink" xfId="69" builtinId="9" hidden="1"/>
    <cellStyle name="Followed Hyperlink" xfId="23" builtinId="9" hidden="1"/>
    <cellStyle name="Followed Hyperlink" xfId="392" builtinId="9" hidden="1"/>
    <cellStyle name="Followed Hyperlink" xfId="239" builtinId="9" hidden="1"/>
    <cellStyle name="Followed Hyperlink" xfId="596" builtinId="9" hidden="1"/>
    <cellStyle name="Followed Hyperlink" xfId="99" builtinId="9" hidden="1"/>
    <cellStyle name="Followed Hyperlink" xfId="141" builtinId="9" hidden="1"/>
    <cellStyle name="Followed Hyperlink" xfId="697" builtinId="9" hidden="1"/>
    <cellStyle name="Followed Hyperlink" xfId="77" builtinId="9" hidden="1"/>
    <cellStyle name="Followed Hyperlink" xfId="681" builtinId="9" hidden="1"/>
    <cellStyle name="Followed Hyperlink" xfId="35" builtinId="9" hidden="1"/>
    <cellStyle name="Followed Hyperlink" xfId="169" builtinId="9" hidden="1"/>
    <cellStyle name="Followed Hyperlink" xfId="343" builtinId="9" hidden="1"/>
    <cellStyle name="Followed Hyperlink" xfId="622" builtinId="9" hidden="1"/>
    <cellStyle name="Followed Hyperlink" xfId="209" builtinId="9" hidden="1"/>
    <cellStyle name="Followed Hyperlink" xfId="656" builtinId="9" hidden="1"/>
    <cellStyle name="Followed Hyperlink" xfId="746" builtinId="9" hidden="1"/>
    <cellStyle name="Followed Hyperlink" xfId="243" builtinId="9" hidden="1"/>
    <cellStyle name="Followed Hyperlink" xfId="626" builtinId="9" hidden="1"/>
    <cellStyle name="Followed Hyperlink" xfId="438" builtinId="9" hidden="1"/>
    <cellStyle name="Followed Hyperlink" xfId="652" builtinId="9" hidden="1"/>
    <cellStyle name="Followed Hyperlink" xfId="500" builtinId="9" hidden="1"/>
    <cellStyle name="Followed Hyperlink" xfId="564" builtinId="9" hidden="1"/>
    <cellStyle name="Followed Hyperlink" xfId="691" builtinId="9" hidden="1"/>
    <cellStyle name="Followed Hyperlink" xfId="592" builtinId="9" hidden="1"/>
    <cellStyle name="Followed Hyperlink" xfId="468" builtinId="9" hidden="1"/>
    <cellStyle name="Followed Hyperlink" xfId="63" builtinId="9" hidden="1"/>
    <cellStyle name="Followed Hyperlink" xfId="658" builtinId="9" hidden="1"/>
    <cellStyle name="Followed Hyperlink" xfId="570" builtinId="9" hidden="1"/>
    <cellStyle name="Followed Hyperlink" xfId="530" builtinId="9" hidden="1"/>
    <cellStyle name="Followed Hyperlink" xfId="705" builtinId="9" hidden="1"/>
    <cellStyle name="Followed Hyperlink" xfId="717" builtinId="9" hidden="1"/>
    <cellStyle name="Followed Hyperlink" xfId="341" builtinId="9" hidden="1"/>
    <cellStyle name="Followed Hyperlink" xfId="436" builtinId="9" hidden="1"/>
    <cellStyle name="Followed Hyperlink" xfId="213" builtinId="9" hidden="1"/>
    <cellStyle name="Followed Hyperlink" xfId="424" builtinId="9" hidden="1"/>
    <cellStyle name="Followed Hyperlink" xfId="566" builtinId="9" hidden="1"/>
    <cellStyle name="Followed Hyperlink" xfId="378" builtinId="9" hidden="1"/>
    <cellStyle name="Followed Hyperlink" xfId="167" builtinId="9" hidden="1"/>
    <cellStyle name="Followed Hyperlink" xfId="382" builtinId="9" hidden="1"/>
    <cellStyle name="Followed Hyperlink" xfId="129" builtinId="9" hidden="1"/>
    <cellStyle name="Followed Hyperlink" xfId="460" builtinId="9" hidden="1"/>
    <cellStyle name="Followed Hyperlink" xfId="614" builtinId="9" hidden="1"/>
    <cellStyle name="Followed Hyperlink" xfId="7" builtinId="9" hidden="1"/>
    <cellStyle name="Followed Hyperlink" xfId="478" builtinId="9" hidden="1"/>
    <cellStyle name="Followed Hyperlink" xfId="199" builtinId="9" hidden="1"/>
    <cellStyle name="Followed Hyperlink" xfId="203" builtinId="9" hidden="1"/>
    <cellStyle name="Followed Hyperlink" xfId="560" builtinId="9" hidden="1"/>
    <cellStyle name="Followed Hyperlink" xfId="111" builtinId="9" hidden="1"/>
    <cellStyle name="Followed Hyperlink" xfId="514" builtinId="9" hidden="1"/>
    <cellStyle name="Followed Hyperlink" xfId="644" builtinId="9" hidden="1"/>
    <cellStyle name="Followed Hyperlink" xfId="380" builtinId="9" hidden="1"/>
    <cellStyle name="Followed Hyperlink" xfId="546" builtinId="9" hidden="1"/>
    <cellStyle name="Followed Hyperlink" xfId="532" builtinId="9" hidden="1"/>
    <cellStyle name="Followed Hyperlink" xfId="233" builtinId="9" hidden="1"/>
    <cellStyle name="Followed Hyperlink" xfId="75" builtinId="9" hidden="1"/>
    <cellStyle name="Followed Hyperlink" xfId="263" builtinId="9" hidden="1"/>
    <cellStyle name="Followed Hyperlink" xfId="504" builtinId="9" hidden="1"/>
    <cellStyle name="Followed Hyperlink" xfId="350" builtinId="9" hidden="1"/>
    <cellStyle name="Followed Hyperlink" xfId="454" builtinId="9" hidden="1"/>
    <cellStyle name="Followed Hyperlink" xfId="47" builtinId="9" hidden="1"/>
    <cellStyle name="Followed Hyperlink" xfId="151" builtinId="9" hidden="1"/>
    <cellStyle name="Followed Hyperlink" xfId="219" builtinId="9" hidden="1"/>
    <cellStyle name="Followed Hyperlink" xfId="103" builtinId="9" hidden="1"/>
    <cellStyle name="Followed Hyperlink" xfId="25" builtinId="9" hidden="1"/>
    <cellStyle name="Followed Hyperlink" xfId="604" builtinId="9" hidden="1"/>
    <cellStyle name="Followed Hyperlink" xfId="135" builtinId="9" hidden="1"/>
    <cellStyle name="Followed Hyperlink" xfId="488" builtinId="9" hidden="1"/>
    <cellStyle name="Followed Hyperlink" xfId="406" builtinId="9" hidden="1"/>
    <cellStyle name="Followed Hyperlink" xfId="612" builtinId="9" hidden="1"/>
    <cellStyle name="Followed Hyperlink" xfId="738" builtinId="9" hidden="1"/>
    <cellStyle name="Followed Hyperlink" xfId="685" builtinId="9" hidden="1"/>
    <cellStyle name="Followed Hyperlink" xfId="181" builtinId="9" hidden="1"/>
    <cellStyle name="Followed Hyperlink" xfId="61" builtinId="9" hidden="1"/>
    <cellStyle name="Followed Hyperlink" xfId="486" builtinId="9" hidden="1"/>
    <cellStyle name="Followed Hyperlink" xfId="247" builtinId="9" hidden="1"/>
    <cellStyle name="Followed Hyperlink" xfId="113" builtinId="9" hidden="1"/>
    <cellStyle name="Followed Hyperlink" xfId="677" builtinId="9" hidden="1"/>
    <cellStyle name="Followed Hyperlink" xfId="3" builtinId="9" hidden="1"/>
    <cellStyle name="Followed Hyperlink" xfId="458" builtinId="9" hidden="1"/>
    <cellStyle name="Followed Hyperlink" xfId="554" builtinId="9" hidden="1"/>
    <cellStyle name="Followed Hyperlink" xfId="259" builtinId="9" hidden="1"/>
    <cellStyle name="Followed Hyperlink" xfId="173" builtinId="9" hidden="1"/>
    <cellStyle name="Followed Hyperlink" xfId="319" builtinId="9" hidden="1"/>
    <cellStyle name="Followed Hyperlink" xfId="552" builtinId="9" hidden="1"/>
    <cellStyle name="Followed Hyperlink" xfId="699" builtinId="9" hidden="1"/>
    <cellStyle name="Followed Hyperlink" xfId="121" builtinId="9" hidden="1"/>
    <cellStyle name="Followed Hyperlink" xfId="105" builtinId="9" hidden="1"/>
    <cellStyle name="Followed Hyperlink" xfId="428" builtinId="9" hidden="1"/>
    <cellStyle name="Followed Hyperlink" xfId="177" builtinId="9" hidden="1"/>
    <cellStyle name="Followed Hyperlink" xfId="297" builtinId="9" hidden="1"/>
    <cellStyle name="Followed Hyperlink" xfId="289" builtinId="9" hidden="1"/>
    <cellStyle name="Followed Hyperlink" xfId="39" builtinId="9" hidden="1"/>
    <cellStyle name="Followed Hyperlink" xfId="727" builtinId="9" hidden="1"/>
    <cellStyle name="Followed Hyperlink" xfId="241" builtinId="9" hidden="1"/>
    <cellStyle name="Followed Hyperlink" xfId="558" builtinId="9" hidden="1"/>
    <cellStyle name="Followed Hyperlink" xfId="492" builtinId="9" hidden="1"/>
    <cellStyle name="Followed Hyperlink" xfId="227" builtinId="9" hidden="1"/>
    <cellStyle name="Followed Hyperlink" xfId="191" builtinId="9" hidden="1"/>
    <cellStyle name="Followed Hyperlink" xfId="544" builtinId="9" hidden="1"/>
    <cellStyle name="Followed Hyperlink" xfId="109" builtinId="9" hidden="1"/>
    <cellStyle name="Followed Hyperlink" xfId="723" builtinId="9" hidden="1"/>
    <cellStyle name="Followed Hyperlink" xfId="285" builtinId="9" hidden="1"/>
    <cellStyle name="Followed Hyperlink" xfId="734" builtinId="9" hidden="1"/>
    <cellStyle name="Followed Hyperlink" xfId="368" builtinId="9" hidden="1"/>
    <cellStyle name="Followed Hyperlink" xfId="117" builtinId="9" hidden="1"/>
    <cellStyle name="Followed Hyperlink" xfId="57" builtinId="9" hidden="1"/>
    <cellStyle name="Followed Hyperlink" xfId="396" builtinId="9" hidden="1"/>
    <cellStyle name="Followed Hyperlink" xfId="53" builtinId="9" hidden="1"/>
    <cellStyle name="Followed Hyperlink" xfId="352" builtinId="9" hidden="1"/>
    <cellStyle name="Followed Hyperlink" xfId="742" builtinId="9" hidden="1"/>
    <cellStyle name="Followed Hyperlink" xfId="145" builtinId="9" hidden="1"/>
    <cellStyle name="Followed Hyperlink" xfId="556" builtinId="9" hidden="1"/>
    <cellStyle name="Followed Hyperlink" xfId="598" builtinId="9" hidden="1"/>
    <cellStyle name="Followed Hyperlink" xfId="494" builtinId="9" hidden="1"/>
    <cellStyle name="Followed Hyperlink" xfId="671" builtinId="9" hidden="1"/>
    <cellStyle name="Followed Hyperlink" xfId="580" builtinId="9" hidden="1"/>
    <cellStyle name="Followed Hyperlink" xfId="235" builtinId="9" hidden="1"/>
    <cellStyle name="Followed Hyperlink" xfId="293" builtinId="9" hidden="1"/>
    <cellStyle name="Followed Hyperlink" xfId="131" builtinId="9" hidden="1"/>
    <cellStyle name="Followed Hyperlink" xfId="673" builtinId="9" hidden="1"/>
    <cellStyle name="Followed Hyperlink" xfId="548" builtinId="9" hidden="1"/>
    <cellStyle name="Followed Hyperlink" xfId="402" builtinId="9" hidden="1"/>
    <cellStyle name="Followed Hyperlink" xfId="125" builtinId="9" hidden="1"/>
    <cellStyle name="Followed Hyperlink" xfId="664" builtinId="9" hidden="1"/>
    <cellStyle name="Followed Hyperlink" xfId="526" builtinId="9" hidden="1"/>
    <cellStyle name="Followed Hyperlink" xfId="323" builtinId="9" hidden="1"/>
    <cellStyle name="Followed Hyperlink" xfId="510" builtinId="9" hidden="1"/>
    <cellStyle name="Followed Hyperlink" xfId="508" builtinId="9" hidden="1"/>
    <cellStyle name="Followed Hyperlink" xfId="695" builtinId="9" hidden="1"/>
    <cellStyle name="Followed Hyperlink" xfId="197" builtinId="9" hidden="1"/>
    <cellStyle name="Followed Hyperlink" xfId="490" builtinId="9" hidden="1"/>
    <cellStyle name="Followed Hyperlink" xfId="79" builtinId="9" hidden="1"/>
    <cellStyle name="Followed Hyperlink" xfId="713" builtinId="9" hidden="1"/>
    <cellStyle name="Followed Hyperlink" xfId="472" builtinId="9" hidden="1"/>
    <cellStyle name="Followed Hyperlink" xfId="45" builtinId="9" hidden="1"/>
    <cellStyle name="Followed Hyperlink" xfId="466" builtinId="9" hidden="1"/>
    <cellStyle name="Followed Hyperlink" xfId="83" builtinId="9" hidden="1"/>
    <cellStyle name="Followed Hyperlink" xfId="474" builtinId="9" hidden="1"/>
    <cellStyle name="Followed Hyperlink" xfId="482" builtinId="9" hidden="1"/>
    <cellStyle name="Followed Hyperlink" xfId="305" builtinId="9" hidden="1"/>
    <cellStyle name="Followed Hyperlink" xfId="11" builtinId="9" hidden="1"/>
    <cellStyle name="Followed Hyperlink" xfId="287" builtinId="9" hidden="1"/>
    <cellStyle name="Followed Hyperlink" xfId="303" builtinId="9" hidden="1"/>
    <cellStyle name="Followed Hyperlink" xfId="400" builtinId="9" hidden="1"/>
    <cellStyle name="Followed Hyperlink" xfId="410" builtinId="9" hidden="1"/>
    <cellStyle name="Followed Hyperlink" xfId="137" builtinId="9" hidden="1"/>
    <cellStyle name="Followed Hyperlink" xfId="620" builtinId="9" hidden="1"/>
    <cellStyle name="Followed Hyperlink" xfId="669" builtinId="9" hidden="1"/>
    <cellStyle name="Followed Hyperlink" xfId="153" builtinId="9" hidden="1"/>
    <cellStyle name="Followed Hyperlink" xfId="333" builtinId="9" hidden="1"/>
    <cellStyle name="Followed Hyperlink" xfId="578" builtinId="9" hidden="1"/>
    <cellStyle name="Followed Hyperlink" xfId="364" builtinId="9" hidden="1"/>
    <cellStyle name="Followed Hyperlink" xfId="426" builtinId="9" hidden="1"/>
    <cellStyle name="Followed Hyperlink" xfId="534" builtinId="9" hidden="1"/>
    <cellStyle name="Followed Hyperlink" xfId="55" builtinId="9" hidden="1"/>
    <cellStyle name="Followed Hyperlink" xfId="215" builtinId="9" hidden="1"/>
    <cellStyle name="Followed Hyperlink" xfId="667" builtinId="9" hidden="1"/>
    <cellStyle name="Followed Hyperlink" xfId="594" builtinId="9" hidden="1"/>
    <cellStyle name="Followed Hyperlink" xfId="161" builtinId="9" hidden="1"/>
    <cellStyle name="Followed Hyperlink" xfId="420" builtinId="9" hidden="1"/>
    <cellStyle name="Followed Hyperlink" xfId="41" builtinId="9" hidden="1"/>
    <cellStyle name="Followed Hyperlink" xfId="729" builtinId="9" hidden="1"/>
    <cellStyle name="Followed Hyperlink" xfId="574" builtinId="9" hidden="1"/>
    <cellStyle name="Followed Hyperlink" xfId="520" builtinId="9" hidden="1"/>
    <cellStyle name="Followed Hyperlink" xfId="107" builtinId="9" hidden="1"/>
    <cellStyle name="Followed Hyperlink" xfId="159" builtinId="9" hidden="1"/>
    <cellStyle name="Followed Hyperlink" xfId="37" builtinId="9" hidden="1"/>
    <cellStyle name="Followed Hyperlink" xfId="370" builtinId="9" hidden="1"/>
    <cellStyle name="Followed Hyperlink" xfId="149" builtinId="9" hidden="1"/>
    <cellStyle name="Followed Hyperlink" xfId="506" builtinId="9" hidden="1"/>
    <cellStyle name="Followed Hyperlink" xfId="225" builtinId="9" hidden="1"/>
    <cellStyle name="Followed Hyperlink" xfId="271" builtinId="9" hidden="1"/>
    <cellStyle name="Followed Hyperlink" xfId="123" builtinId="9" hidden="1"/>
    <cellStyle name="Followed Hyperlink" xfId="115" builtinId="9" hidden="1"/>
    <cellStyle name="Followed Hyperlink" xfId="536" builtinId="9" hidden="1"/>
    <cellStyle name="Followed Hyperlink" xfId="217" builtinId="9" hidden="1"/>
    <cellStyle name="Followed Hyperlink" xfId="634" builtinId="9" hidden="1"/>
    <cellStyle name="Followed Hyperlink" xfId="335" builtinId="9" hidden="1"/>
    <cellStyle name="Followed Hyperlink" xfId="183" builtinId="9" hidden="1"/>
    <cellStyle name="Followed Hyperlink" xfId="452" builtinId="9" hidden="1"/>
    <cellStyle name="Followed Hyperlink" xfId="744" builtinId="9" hidden="1"/>
    <cellStyle name="Followed Hyperlink" xfId="616" builtinId="9" hidden="1"/>
    <cellStyle name="Followed Hyperlink" xfId="732" builtinId="9" hidden="1"/>
    <cellStyle name="Followed Hyperlink" xfId="201" builtinId="9" hidden="1"/>
    <cellStyle name="Followed Hyperlink" xfId="528" builtinId="9" hidden="1"/>
    <cellStyle name="Followed Hyperlink" xfId="13" builtinId="9" hidden="1"/>
    <cellStyle name="Followed Hyperlink" xfId="65" builtinId="9" hidden="1"/>
    <cellStyle name="Followed Hyperlink" xfId="31" builtinId="9" hidden="1"/>
    <cellStyle name="Followed Hyperlink" xfId="384" builtinId="9" hidden="1"/>
    <cellStyle name="Followed Hyperlink" xfId="430" builtinId="9" hidden="1"/>
    <cellStyle name="Followed Hyperlink" xfId="590" builtinId="9" hidden="1"/>
    <cellStyle name="Followed Hyperlink" xfId="187" builtinId="9" hidden="1"/>
    <cellStyle name="Followed Hyperlink" xfId="540" builtinId="9" hidden="1"/>
    <cellStyle name="Followed Hyperlink" xfId="456" builtinId="9" hidden="1"/>
    <cellStyle name="Followed Hyperlink" xfId="394" builtinId="9" hidden="1"/>
    <cellStyle name="Followed Hyperlink" xfId="562" builtinId="9" hidden="1"/>
    <cellStyle name="Followed Hyperlink" xfId="687" builtinId="9" hidden="1"/>
    <cellStyle name="Followed Hyperlink" xfId="291" builtinId="9" hidden="1"/>
    <cellStyle name="Followed Hyperlink" xfId="602" builtinId="9" hidden="1"/>
    <cellStyle name="Followed Hyperlink" xfId="73" builtinId="9" hidden="1"/>
    <cellStyle name="Followed Hyperlink" xfId="325" builtinId="9" hidden="1"/>
    <cellStyle name="Followed Hyperlink" xfId="71" builtinId="9" hidden="1"/>
    <cellStyle name="Followed Hyperlink" xfId="27" builtinId="9" hidden="1"/>
    <cellStyle name="Followed Hyperlink" xfId="512" builtinId="9" hidden="1"/>
    <cellStyle name="Followed Hyperlink" xfId="95" builtinId="9" hidden="1"/>
    <cellStyle name="Followed Hyperlink" xfId="317" builtinId="9" hidden="1"/>
    <cellStyle name="Followed Hyperlink" xfId="398" builtinId="9" hidden="1"/>
    <cellStyle name="Followed Hyperlink" xfId="586" builtinId="9" hidden="1"/>
    <cellStyle name="Followed Hyperlink" xfId="354" builtinId="9" hidden="1"/>
    <cellStyle name="Followed Hyperlink" xfId="414" builtinId="9" hidden="1"/>
    <cellStyle name="Followed Hyperlink" xfId="189" builtinId="9" hidden="1"/>
    <cellStyle name="Followed Hyperlink" xfId="707" builtinId="9" hidden="1"/>
    <cellStyle name="Followed Hyperlink" xfId="133" builtinId="9" hidden="1"/>
    <cellStyle name="Followed Hyperlink" xfId="321" builtinId="9" hidden="1"/>
    <cellStyle name="Followed Hyperlink" xfId="582" builtinId="9" hidden="1"/>
    <cellStyle name="Followed Hyperlink" xfId="49" builtinId="9" hidden="1"/>
    <cellStyle name="Followed Hyperlink" xfId="101" builtinId="9" hidden="1"/>
    <cellStyle name="Followed Hyperlink" xfId="307" builtinId="9" hidden="1"/>
    <cellStyle name="Followed Hyperlink" xfId="630" builtinId="9" hidden="1"/>
    <cellStyle name="Followed Hyperlink" xfId="275" builtinId="9" hidden="1"/>
    <cellStyle name="Followed Hyperlink" xfId="584" builtinId="9" hidden="1"/>
    <cellStyle name="Followed Hyperlink" xfId="572" builtinId="9" hidden="1"/>
    <cellStyle name="Followed Hyperlink" xfId="476" builtinId="9" hidden="1"/>
    <cellStyle name="Followed Hyperlink" xfId="422" builtinId="9" hidden="1"/>
    <cellStyle name="Followed Hyperlink" xfId="281" builtinId="9" hidden="1"/>
    <cellStyle name="Followed Hyperlink" xfId="662" builtinId="9" hidden="1"/>
    <cellStyle name="Followed Hyperlink" xfId="257" builtinId="9" hidden="1"/>
    <cellStyle name="Followed Hyperlink" xfId="646" builtinId="9" hidden="1"/>
    <cellStyle name="Followed Hyperlink" xfId="618" builtinId="9" hidden="1"/>
    <cellStyle name="Followed Hyperlink" xfId="143" builtinId="9" hidden="1"/>
    <cellStyle name="Followed Hyperlink" xfId="165" builtinId="9" hidden="1"/>
    <cellStyle name="Followed Hyperlink" xfId="15" builtinId="9" hidden="1"/>
    <cellStyle name="Followed Hyperlink" xfId="683" builtinId="9" hidden="1"/>
    <cellStyle name="Followed Hyperlink" xfId="550" builtinId="9" hidden="1"/>
    <cellStyle name="Followed Hyperlink" xfId="267" builtinId="9" hidden="1"/>
    <cellStyle name="Followed Hyperlink" xfId="309" builtinId="9" hidden="1"/>
    <cellStyle name="Followed Hyperlink" xfId="163" builtinId="9" hidden="1"/>
    <cellStyle name="Followed Hyperlink" xfId="444" builtinId="9" hidden="1"/>
    <cellStyle name="Followed Hyperlink" xfId="261" builtinId="9" hidden="1"/>
    <cellStyle name="Followed Hyperlink" xfId="522" builtinId="9" hidden="1"/>
    <cellStyle name="Followed Hyperlink" xfId="711" builtinId="9" hidden="1"/>
    <cellStyle name="Followed Hyperlink" xfId="450" builtinId="9" hidden="1"/>
    <cellStyle name="Followed Hyperlink" xfId="331" builtinId="9" hidden="1"/>
    <cellStyle name="Followed Hyperlink" xfId="337" builtinId="9" hidden="1"/>
    <cellStyle name="Followed Hyperlink" xfId="59" builtinId="9" hidden="1"/>
    <cellStyle name="Followed Hyperlink" xfId="283" builtinId="9" hidden="1"/>
    <cellStyle name="Followed Hyperlink" xfId="446" builtinId="9" hidden="1"/>
    <cellStyle name="Followed Hyperlink" xfId="29" builtinId="9" hidden="1"/>
    <cellStyle name="Followed Hyperlink" xfId="600" builtinId="9" hidden="1"/>
    <cellStyle name="Followed Hyperlink" xfId="638" builtinId="9" hidden="1"/>
    <cellStyle name="Followed Hyperlink" xfId="721" builtinId="9" hidden="1"/>
    <cellStyle name="Followed Hyperlink" xfId="21" builtinId="9" hidden="1"/>
    <cellStyle name="Followed Hyperlink" xfId="253" builtinId="9" hidden="1"/>
    <cellStyle name="Followed Hyperlink" xfId="693" builtinId="9" hidden="1"/>
    <cellStyle name="Followed Hyperlink" xfId="632" builtinId="9" hidden="1"/>
    <cellStyle name="Followed Hyperlink" xfId="299" builtinId="9" hidden="1"/>
    <cellStyle name="Followed Hyperlink" xfId="703" builtinId="9" hidden="1"/>
    <cellStyle name="Followed Hyperlink" xfId="179" builtinId="9" hidden="1"/>
    <cellStyle name="Followed Hyperlink" xfId="255" builtinId="9" hidden="1"/>
    <cellStyle name="Followed Hyperlink" xfId="636" builtinId="9" hidden="1"/>
    <cellStyle name="Followed Hyperlink" xfId="404" builtinId="9" hidden="1"/>
    <cellStyle name="Followed Hyperlink" xfId="171" builtinId="9" hidden="1"/>
    <cellStyle name="Followed Hyperlink" xfId="119" builtinId="9" hidden="1"/>
    <cellStyle name="Followed Hyperlink" xfId="725" builtinId="9" hidden="1"/>
    <cellStyle name="Followed Hyperlink" xfId="207" builtinId="9" hidden="1"/>
    <cellStyle name="Followed Hyperlink" xfId="9" builtinId="9" hidden="1"/>
    <cellStyle name="Followed Hyperlink" xfId="719" builtinId="9" hidden="1"/>
    <cellStyle name="Followed Hyperlink" xfId="358" builtinId="9" hidden="1"/>
    <cellStyle name="Followed Hyperlink" xfId="211" builtinId="9" hidden="1"/>
    <cellStyle name="Followed Hyperlink" xfId="313" builtinId="9" hidden="1"/>
    <cellStyle name="Followed Hyperlink" xfId="221" builtinId="9" hidden="1"/>
    <cellStyle name="Followed Hyperlink" xfId="229" builtinId="9" hidden="1"/>
    <cellStyle name="Followed Hyperlink" xfId="650" builtinId="9" hidden="1"/>
    <cellStyle name="Followed Hyperlink" xfId="440" builtinId="9" hidden="1"/>
    <cellStyle name="Followed Hyperlink" xfId="33" builtinId="9" hidden="1"/>
    <cellStyle name="Followed Hyperlink" xfId="85" builtinId="9" hidden="1"/>
    <cellStyle name="Followed Hyperlink" xfId="301" builtinId="9" hidden="1"/>
    <cellStyle name="Followed Hyperlink" xfId="265" builtinId="9" hidden="1"/>
    <cellStyle name="Followed Hyperlink" xfId="640" builtinId="9" hidden="1"/>
    <cellStyle name="Followed Hyperlink" xfId="538" builtinId="9" hidden="1"/>
    <cellStyle name="Followed Hyperlink" xfId="516" builtinId="9" hidden="1"/>
    <cellStyle name="Followed Hyperlink" xfId="654" builtinId="9" hidden="1"/>
    <cellStyle name="Followed Hyperlink" xfId="345" builtinId="9" hidden="1"/>
    <cellStyle name="Followed Hyperlink" xfId="327" builtinId="9" hidden="1"/>
    <cellStyle name="Followed Hyperlink" xfId="442" builtinId="9" hidden="1"/>
    <cellStyle name="Followed Hyperlink" xfId="81" builtinId="9" hidden="1"/>
    <cellStyle name="Followed Hyperlink" xfId="245" builtinId="9" hidden="1"/>
    <cellStyle name="Followed Hyperlink" xfId="329" builtinId="9" hidden="1"/>
    <cellStyle name="Followed Hyperlink" xfId="568" builtinId="9" hidden="1"/>
    <cellStyle name="Followed Hyperlink" xfId="624" builtinId="9" hidden="1"/>
    <cellStyle name="Followed Hyperlink" xfId="660" builtinId="9" hidden="1"/>
    <cellStyle name="Followed Hyperlink" xfId="315" builtinId="9" hidden="1"/>
    <cellStyle name="Followed Hyperlink" xfId="127" builtinId="9" hidden="1"/>
    <cellStyle name="Followed Hyperlink" xfId="97" builtinId="9" hidden="1"/>
    <cellStyle name="Followed Hyperlink" xfId="195" builtinId="9" hidden="1"/>
    <cellStyle name="Followed Hyperlink" xfId="376" builtinId="9" hidden="1"/>
    <cellStyle name="Followed Hyperlink" xfId="91" builtinId="9" hidden="1"/>
    <cellStyle name="Followed Hyperlink" xfId="715" builtinId="9" hidden="1"/>
    <cellStyle name="Followed Hyperlink" xfId="372" builtinId="9" hidden="1"/>
    <cellStyle name="Followed Hyperlink" xfId="408" builtinId="9" hidden="1"/>
    <cellStyle name="Followed Hyperlink" xfId="470" builtinId="9" hidden="1"/>
    <cellStyle name="Followed Hyperlink" xfId="412" builtinId="9" hidden="1"/>
    <cellStyle name="Followed Hyperlink" xfId="19" builtinId="9" hidden="1"/>
    <cellStyle name="Followed Hyperlink" xfId="43" builtinId="9" hidden="1"/>
    <cellStyle name="Followed Hyperlink" xfId="193" builtinId="9" hidden="1"/>
    <cellStyle name="Followed Hyperlink" xfId="462" builtinId="9" hidden="1"/>
    <cellStyle name="Followed Hyperlink" xfId="5" builtinId="9" hidden="1"/>
    <cellStyle name="Followed Hyperlink" xfId="448" builtinId="9" hidden="1"/>
    <cellStyle name="Followed Hyperlink" xfId="524" builtinId="9" hidden="1"/>
    <cellStyle name="Followed Hyperlink" xfId="223" builtinId="9" hidden="1"/>
    <cellStyle name="Followed Hyperlink" xfId="434" builtinId="9" hidden="1"/>
    <cellStyle name="Followed Hyperlink" xfId="67" builtinId="9" hidden="1"/>
    <cellStyle name="Followed Hyperlink" xfId="740" builtinId="9" hidden="1"/>
    <cellStyle name="Followed Hyperlink" xfId="484" builtinId="9" hidden="1"/>
    <cellStyle name="Followed Hyperlink" xfId="157" builtinId="9" hidden="1"/>
    <cellStyle name="Followed Hyperlink" xfId="155" builtinId="9" hidden="1"/>
    <cellStyle name="Followed Hyperlink" xfId="502" builtinId="9" hidden="1"/>
    <cellStyle name="Followed Hyperlink" xfId="496" builtinId="9" hidden="1"/>
    <cellStyle name="Followed Hyperlink" xfId="356" builtinId="9" hidden="1"/>
    <cellStyle name="Followed Hyperlink" xfId="231" builtinId="9" hidden="1"/>
    <cellStyle name="Followed Hyperlink" xfId="295" builtinId="9" hidden="1"/>
    <cellStyle name="Followed Hyperlink" xfId="480" builtinId="9" hidden="1"/>
    <cellStyle name="Followed Hyperlink" xfId="311" builtinId="9" hidden="1"/>
    <cellStyle name="Followed Hyperlink" xfId="464" builtinId="9" hidden="1"/>
    <cellStyle name="Followed Hyperlink" xfId="610" builtinId="9" hidden="1"/>
    <cellStyle name="Followed Hyperlink" xfId="679" builtinId="9" hidden="1"/>
    <cellStyle name="Followed Hyperlink" xfId="518" builtinId="9" hidden="1"/>
    <cellStyle name="Followed Hyperlink" xfId="87" builtinId="9" hidden="1"/>
    <cellStyle name="Followed Hyperlink" xfId="416" builtinId="9" hidden="1"/>
    <cellStyle name="Followed Hyperlink" xfId="642" builtinId="9" hidden="1"/>
    <cellStyle name="Followed Hyperlink" xfId="366" builtinId="9" hidden="1"/>
    <cellStyle name="Followed Hyperlink" xfId="675" builtinId="9" hidden="1"/>
    <cellStyle name="Followed Hyperlink" xfId="689" builtinId="9" hidden="1"/>
    <cellStyle name="Followed Hyperlink" xfId="628" builtinId="9" hidden="1"/>
    <cellStyle name="Followed Hyperlink" xfId="139" builtinId="9" hidden="1"/>
    <cellStyle name="Followed Hyperlink" xfId="608" builtinId="9" hidden="1"/>
    <cellStyle name="Followed Hyperlink" xfId="386" builtinId="9" hidden="1"/>
    <cellStyle name="Followed Hyperlink" xfId="339" builtinId="9" hidden="1"/>
    <cellStyle name="Followed Hyperlink" xfId="279" builtinId="9" hidden="1"/>
    <cellStyle name="Followed Hyperlink" xfId="185" builtinId="9" hidden="1"/>
    <cellStyle name="Followed Hyperlink" xfId="388" builtinId="9" hidden="1"/>
    <cellStyle name="Followed Hyperlink" xfId="89" builtinId="9" hidden="1"/>
    <cellStyle name="Followed Hyperlink" xfId="277" builtinId="9" hidden="1"/>
    <cellStyle name="Followed Hyperlink" xfId="374" builtinId="9" hidden="1"/>
    <cellStyle name="Followed Hyperlink" xfId="17" builtinId="9" hidden="1"/>
    <cellStyle name="Followed Hyperlink" xfId="736" builtinId="9" hidden="1"/>
    <cellStyle name="Followed Hyperlink" xfId="147" builtinId="9" hidden="1"/>
    <cellStyle name="Followed Hyperlink" xfId="269" builtinId="9" hidden="1"/>
    <cellStyle name="Followed Hyperlink" xfId="588" builtinId="9" hidden="1"/>
    <cellStyle name="Followed Hyperlink" xfId="701" builtinId="9" hidden="1"/>
    <cellStyle name="Followed Hyperlink" xfId="390" builtinId="9" hidden="1"/>
    <cellStyle name="Followed Hyperlink" xfId="576" builtinId="9" hidden="1"/>
    <cellStyle name="Followed Hyperlink" xfId="237" builtinId="9" hidden="1"/>
    <cellStyle name="Followed Hyperlink" xfId="360" builtinId="9" hidden="1"/>
    <cellStyle name="Followed Hyperlink" xfId="93" builtinId="9" hidden="1"/>
    <cellStyle name="Followed Hyperlink" xfId="175" builtinId="9" hidden="1"/>
    <cellStyle name="Followed Hyperlink" xfId="498" builtinId="9" hidden="1"/>
    <cellStyle name="Hyperlink" xfId="573" builtinId="8" hidden="1"/>
    <cellStyle name="Hyperlink" xfId="328" builtinId="8" hidden="1"/>
    <cellStyle name="Hyperlink" xfId="32" builtinId="8" hidden="1"/>
    <cellStyle name="Hyperlink" xfId="457" builtinId="8" hidden="1"/>
    <cellStyle name="Hyperlink" xfId="256" builtinId="8" hidden="1"/>
    <cellStyle name="Hyperlink" xfId="16" builtinId="8" hidden="1"/>
    <cellStyle name="Hyperlink" xfId="531" builtinId="8" hidden="1"/>
    <cellStyle name="Hyperlink" xfId="659" builtinId="8" hidden="1"/>
    <cellStyle name="Hyperlink" xfId="66" builtinId="8" hidden="1"/>
    <cellStyle name="Hyperlink" xfId="72" builtinId="8" hidden="1"/>
    <cellStyle name="Hyperlink" xfId="383" builtinId="8" hidden="1"/>
    <cellStyle name="Hyperlink" xfId="389" builtinId="8" hidden="1"/>
    <cellStyle name="Hyperlink" xfId="635" builtinId="8" hidden="1"/>
    <cellStyle name="Hyperlink" xfId="511" builtinId="8" hidden="1"/>
    <cellStyle name="Hyperlink" xfId="676" builtinId="8" hidden="1"/>
    <cellStyle name="Hyperlink" xfId="142" builtinId="8" hidden="1"/>
    <cellStyle name="Hyperlink" xfId="276" builtinId="8" hidden="1"/>
    <cellStyle name="Hyperlink" xfId="369" builtinId="8" hidden="1"/>
    <cellStyle name="Hyperlink" xfId="419" builtinId="8" hidden="1"/>
    <cellStyle name="Hyperlink" xfId="629" builtinId="8" hidden="1"/>
    <cellStyle name="Hyperlink" xfId="453" builtinId="8" hidden="1"/>
    <cellStyle name="Hyperlink" xfId="575" builtinId="8" hidden="1"/>
    <cellStyle name="Hyperlink" xfId="739" builtinId="8" hidden="1"/>
    <cellStyle name="Hyperlink" xfId="80" builtinId="8" hidden="1"/>
    <cellStyle name="Hyperlink" xfId="4" builtinId="8" hidden="1"/>
    <cellStyle name="Hyperlink" xfId="248" builtinId="8" hidden="1"/>
    <cellStyle name="Hyperlink" xfId="160" builtinId="8" hidden="1"/>
    <cellStyle name="Hyperlink" xfId="46" builtinId="8" hidden="1"/>
    <cellStyle name="Hyperlink" xfId="449" builtinId="8" hidden="1"/>
    <cellStyle name="Hyperlink" xfId="218" builtinId="8" hidden="1"/>
    <cellStyle name="Hyperlink" xfId="577" builtinId="8" hidden="1"/>
    <cellStyle name="Hyperlink" xfId="196" builtinId="8" hidden="1"/>
    <cellStyle name="Hyperlink" xfId="8" builtinId="8" hidden="1"/>
    <cellStyle name="Hyperlink" xfId="246" builtinId="8" hidden="1"/>
    <cellStyle name="Hyperlink" xfId="34" builtinId="8" hidden="1"/>
    <cellStyle name="Hyperlink" xfId="338" builtinId="8" hidden="1"/>
    <cellStyle name="Hyperlink" xfId="28" builtinId="8" hidden="1"/>
    <cellStyle name="Hyperlink" xfId="138" builtinId="8" hidden="1"/>
    <cellStyle name="Hyperlink" xfId="30" builtinId="8" hidden="1"/>
    <cellStyle name="Hyperlink" xfId="54" builtinId="8" hidden="1"/>
    <cellStyle name="Hyperlink" xfId="595" builtinId="8" hidden="1"/>
    <cellStyle name="Hyperlink" xfId="708" builtinId="8" hidden="1"/>
    <cellStyle name="Hyperlink" xfId="547" builtinId="8" hidden="1"/>
    <cellStyle name="Hyperlink" xfId="96" builtinId="8" hidden="1"/>
    <cellStyle name="Hyperlink" xfId="174" builtinId="8" hidden="1"/>
    <cellStyle name="Hyperlink" xfId="244" builtinId="8" hidden="1"/>
    <cellStyle name="Hyperlink" xfId="647" builtinId="8" hidden="1"/>
    <cellStyle name="Hyperlink" xfId="591" builtinId="8" hidden="1"/>
    <cellStyle name="Hyperlink" xfId="48" builtinId="8" hidden="1"/>
    <cellStyle name="Hyperlink" xfId="76" builtinId="8" hidden="1"/>
    <cellStyle name="Hyperlink" xfId="110" builtinId="8" hidden="1"/>
    <cellStyle name="Hyperlink" xfId="308" builtinId="8" hidden="1"/>
    <cellStyle name="Hyperlink" xfId="353" builtinId="8" hidden="1"/>
    <cellStyle name="Hyperlink" xfId="36" builtinId="8" hidden="1"/>
    <cellStyle name="Hyperlink" xfId="298" builtinId="8" hidden="1"/>
    <cellStyle name="Hyperlink" xfId="637" builtinId="8" hidden="1"/>
    <cellStyle name="Hyperlink" xfId="737" builtinId="8" hidden="1"/>
    <cellStyle name="Hyperlink" xfId="290" builtinId="8" hidden="1"/>
    <cellStyle name="Hyperlink" xfId="433" builtinId="8" hidden="1"/>
    <cellStyle name="Hyperlink" xfId="262" builtinId="8" hidden="1"/>
    <cellStyle name="Hyperlink" xfId="477" builtinId="8" hidden="1"/>
    <cellStyle name="Hyperlink" xfId="728" builtinId="8" hidden="1"/>
    <cellStyle name="Hyperlink" xfId="411" builtinId="8" hidden="1"/>
    <cellStyle name="Hyperlink" xfId="623" builtinId="8" hidden="1"/>
    <cellStyle name="Hyperlink" xfId="178" builtinId="8" hidden="1"/>
    <cellStyle name="Hyperlink" xfId="154" builtinId="8" hidden="1"/>
    <cellStyle name="Hyperlink" xfId="38" builtinId="8" hidden="1"/>
    <cellStyle name="Hyperlink" xfId="186" builtinId="8" hidden="1"/>
    <cellStyle name="Hyperlink" xfId="375" builtinId="8" hidden="1"/>
    <cellStyle name="Hyperlink" xfId="120" builtinId="8" hidden="1"/>
    <cellStyle name="Hyperlink" xfId="682" builtinId="8" hidden="1"/>
    <cellStyle name="Hyperlink" xfId="280" builtinId="8" hidden="1"/>
    <cellStyle name="Hyperlink" xfId="569" builtinId="8" hidden="1"/>
    <cellStyle name="Hyperlink" xfId="473" builtinId="8" hidden="1"/>
    <cellStyle name="Hyperlink" xfId="391" builtinId="8" hidden="1"/>
    <cellStyle name="Hyperlink" xfId="503" builtinId="8" hidden="1"/>
    <cellStyle name="Hyperlink" xfId="82" builtinId="8" hidden="1"/>
    <cellStyle name="Hyperlink" xfId="188" builtinId="8" hidden="1"/>
    <cellStyle name="Hyperlink" xfId="172" builtinId="8" hidden="1"/>
    <cellStyle name="Hyperlink" xfId="194" builtinId="8" hidden="1"/>
    <cellStyle name="Hyperlink" xfId="429" builtinId="8" hidden="1"/>
    <cellStyle name="Hyperlink" xfId="24" builtinId="8" hidden="1"/>
    <cellStyle name="Hyperlink" xfId="615" builtinId="8" hidden="1"/>
    <cellStyle name="Hyperlink" xfId="499" builtinId="8" hidden="1"/>
    <cellStyle name="Hyperlink" xfId="126" builtinId="8" hidden="1"/>
    <cellStyle name="Hyperlink" xfId="284" builtinId="8" hidden="1"/>
    <cellStyle name="Hyperlink" xfId="260" builtinId="8" hidden="1"/>
    <cellStyle name="Hyperlink" xfId="198" builtinId="8" hidden="1"/>
    <cellStyle name="Hyperlink" xfId="340" builtinId="8" hidden="1"/>
    <cellStyle name="Hyperlink" xfId="84" builtinId="8" hidden="1"/>
    <cellStyle name="Hyperlink" xfId="517" builtinId="8" hidden="1"/>
    <cellStyle name="Hyperlink" xfId="242" builtinId="8" hidden="1"/>
    <cellStyle name="Hyperlink" xfId="405" builtinId="8" hidden="1"/>
    <cellStyle name="Hyperlink" xfId="427" builtinId="8" hidden="1"/>
    <cellStyle name="Hyperlink" xfId="529" builtinId="8" hidden="1"/>
    <cellStyle name="Hyperlink" xfId="230" builtinId="8" hidden="1"/>
    <cellStyle name="Hyperlink" xfId="670" builtinId="8" hidden="1"/>
    <cellStyle name="Hyperlink" xfId="222" builtinId="8" hidden="1"/>
    <cellStyle name="Hyperlink" xfId="18" builtinId="8" hidden="1"/>
    <cellStyle name="Hyperlink" xfId="216" builtinId="8" hidden="1"/>
    <cellStyle name="Hyperlink" xfId="401" builtinId="8" hidden="1"/>
    <cellStyle name="Hyperlink" xfId="666" builtinId="8" hidden="1"/>
    <cellStyle name="Hyperlink" xfId="549" builtinId="8" hidden="1"/>
    <cellStyle name="Hyperlink" xfId="236" builtinId="8" hidden="1"/>
    <cellStyle name="Hyperlink" xfId="250" builtinId="8" hidden="1"/>
    <cellStyle name="Hyperlink" xfId="268" builtinId="8" hidden="1"/>
    <cellStyle name="Hyperlink" xfId="60" builtinId="8" hidden="1"/>
    <cellStyle name="Hyperlink" xfId="672" builtinId="8" hidden="1"/>
    <cellStyle name="Hyperlink" xfId="745" builtinId="8" hidden="1"/>
    <cellStyle name="Hyperlink" xfId="716" builtinId="8" hidden="1"/>
    <cellStyle name="Hyperlink" xfId="409" builtinId="8" hidden="1"/>
    <cellStyle name="Hyperlink" xfId="274" builtinId="8" hidden="1"/>
    <cellStyle name="Hyperlink" xfId="106" builtinId="8" hidden="1"/>
    <cellStyle name="Hyperlink" xfId="342" builtinId="8" hidden="1"/>
    <cellStyle name="Hyperlink" xfId="180" builtinId="8" hidden="1"/>
    <cellStyle name="Hyperlink" xfId="68" builtinId="8" hidden="1"/>
    <cellStyle name="Hyperlink" xfId="627" builtinId="8" hidden="1"/>
    <cellStyle name="Hyperlink" xfId="210" builtinId="8" hidden="1"/>
    <cellStyle name="Hyperlink" xfId="495" builtinId="8" hidden="1"/>
    <cellStyle name="Hyperlink" xfId="26" builtinId="8" hidden="1"/>
    <cellStyle name="Hyperlink" xfId="166" builtinId="8" hidden="1"/>
    <cellStyle name="Hyperlink" xfId="485" builtinId="8" hidden="1"/>
    <cellStyle name="Hyperlink" xfId="704" builtinId="8" hidden="1"/>
    <cellStyle name="Hyperlink" xfId="441" builtinId="8" hidden="1"/>
    <cellStyle name="Hyperlink" xfId="212" builtinId="8" hidden="1"/>
    <cellStyle name="Hyperlink" xfId="611" builtinId="8" hidden="1"/>
    <cellStyle name="Hyperlink" xfId="208" builtinId="8" hidden="1"/>
    <cellStyle name="Hyperlink" xfId="467" builtinId="8" hidden="1"/>
    <cellStyle name="Hyperlink" xfId="684" builtinId="8" hidden="1"/>
    <cellStyle name="Hyperlink" xfId="146" builtinId="8" hidden="1"/>
    <cellStyle name="Hyperlink" xfId="150" builtinId="8" hidden="1"/>
    <cellStyle name="Hyperlink" xfId="451" builtinId="8" hidden="1"/>
    <cellStyle name="Hyperlink" xfId="326" builtinId="8" hidden="1"/>
    <cellStyle name="Hyperlink" xfId="214" builtinId="8" hidden="1"/>
    <cellStyle name="Hyperlink" xfId="567" builtinId="8" hidden="1"/>
    <cellStyle name="Hyperlink" xfId="200" builtinId="8" hidden="1"/>
    <cellStyle name="Hyperlink" xfId="232" builtinId="8" hidden="1"/>
    <cellStyle name="Hyperlink" xfId="316" builtinId="8" hidden="1"/>
    <cellStyle name="Hyperlink" xfId="714" builtinId="8" hidden="1"/>
    <cellStyle name="Hyperlink" xfId="314" builtinId="8" hidden="1"/>
    <cellStyle name="Hyperlink" xfId="332" builtinId="8" hidden="1"/>
    <cellStyle name="Hyperlink" xfId="579" builtinId="8" hidden="1"/>
    <cellStyle name="Hyperlink" xfId="617" builtinId="8" hidden="1"/>
    <cellStyle name="Hyperlink" xfId="294" builtinId="8" hidden="1"/>
    <cellStyle name="Hyperlink" xfId="184" builtinId="8" hidden="1"/>
    <cellStyle name="Hyperlink" xfId="78" builtinId="8" hidden="1"/>
    <cellStyle name="Hyperlink" xfId="88" builtinId="8" hidden="1"/>
    <cellStyle name="Hyperlink" xfId="363" builtinId="8" hidden="1"/>
    <cellStyle name="Hyperlink" xfId="371" builtinId="8" hidden="1"/>
    <cellStyle name="Hyperlink" xfId="425" builtinId="8" hidden="1"/>
    <cellStyle name="Hyperlink" xfId="631" builtinId="8" hidden="1"/>
    <cellStyle name="Hyperlink" xfId="607" builtinId="8" hidden="1"/>
    <cellStyle name="Hyperlink" xfId="62" builtinId="8" hidden="1"/>
    <cellStyle name="Hyperlink" xfId="720" builtinId="8" hidden="1"/>
    <cellStyle name="Hyperlink" xfId="162" builtinId="8" hidden="1"/>
    <cellStyle name="Hyperlink" xfId="104" builtinId="8" hidden="1"/>
    <cellStyle name="Hyperlink" xfId="465" builtinId="8" hidden="1"/>
    <cellStyle name="Hyperlink" xfId="423" builtinId="8" hidden="1"/>
    <cellStyle name="Hyperlink" xfId="643" builtinId="8" hidden="1"/>
    <cellStyle name="Hyperlink" xfId="688" builtinId="8" hidden="1"/>
    <cellStyle name="Hyperlink" xfId="487" builtinId="8" hidden="1"/>
    <cellStyle name="Hyperlink" xfId="92" builtinId="8" hidden="1"/>
    <cellStyle name="Hyperlink" xfId="56" builtinId="8" hidden="1"/>
    <cellStyle name="Hyperlink" xfId="351" builtinId="8" hidden="1"/>
    <cellStyle name="Hyperlink" xfId="234" builtinId="8" hidden="1"/>
    <cellStyle name="Hyperlink" xfId="176" builtinId="8" hidden="1"/>
    <cellStyle name="Hyperlink" xfId="12" builtinId="8" hidden="1"/>
    <cellStyle name="Hyperlink" xfId="381" builtinId="8" hidden="1"/>
    <cellStyle name="Hyperlink" xfId="278" builtinId="8" hidden="1"/>
    <cellStyle name="Hyperlink" xfId="657" builtinId="8" hidden="1"/>
    <cellStyle name="Hyperlink" xfId="605" builtinId="8" hidden="1"/>
    <cellStyle name="Hyperlink" xfId="489" builtinId="8" hidden="1"/>
    <cellStyle name="Hyperlink" xfId="334" builtinId="8" hidden="1"/>
    <cellStyle name="Hyperlink" xfId="706" builtinId="8" hidden="1"/>
    <cellStyle name="Hyperlink" xfId="367" builtinId="8" hidden="1"/>
    <cellStyle name="Hyperlink" xfId="565" builtinId="8" hidden="1"/>
    <cellStyle name="Hyperlink" xfId="238" builtinId="8" hidden="1"/>
    <cellStyle name="Hyperlink" xfId="128" builtinId="8" hidden="1"/>
    <cellStyle name="Hyperlink" xfId="537" builtinId="8" hidden="1"/>
    <cellStyle name="Hyperlink" xfId="282" builtinId="8" hidden="1"/>
    <cellStyle name="Hyperlink" xfId="603" builtinId="8" hidden="1"/>
    <cellStyle name="Hyperlink" xfId="164" builtinId="8" hidden="1"/>
    <cellStyle name="Hyperlink" xfId="318" builtinId="8" hidden="1"/>
    <cellStyle name="Hyperlink" xfId="726" builtinId="8" hidden="1"/>
    <cellStyle name="Hyperlink" xfId="310" builtinId="8" hidden="1"/>
    <cellStyle name="Hyperlink" xfId="395" builtinId="8" hidden="1"/>
    <cellStyle name="Hyperlink" xfId="459" builtinId="8" hidden="1"/>
    <cellStyle name="Hyperlink" xfId="312" builtinId="8" hidden="1"/>
    <cellStyle name="Hyperlink" xfId="344" builtinId="8" hidden="1"/>
    <cellStyle name="Hyperlink" xfId="483" builtinId="8" hidden="1"/>
    <cellStyle name="Hyperlink" xfId="258" builtinId="8" hidden="1"/>
    <cellStyle name="Hyperlink" xfId="44" builtinId="8" hidden="1"/>
    <cellStyle name="Hyperlink" xfId="202" builtinId="8" hidden="1"/>
    <cellStyle name="Hyperlink" xfId="170" builtinId="8" hidden="1"/>
    <cellStyle name="Hyperlink" xfId="403" builtinId="8" hidden="1"/>
    <cellStyle name="Hyperlink" xfId="507" builtinId="8" hidden="1"/>
    <cellStyle name="Hyperlink" xfId="601" builtinId="8" hidden="1"/>
    <cellStyle name="Hyperlink" xfId="302" builtinId="8" hidden="1"/>
    <cellStyle name="Hyperlink" xfId="74" builtinId="8" hidden="1"/>
    <cellStyle name="Hyperlink" xfId="254" builtinId="8" hidden="1"/>
    <cellStyle name="Hyperlink" xfId="336" builtinId="8" hidden="1"/>
    <cellStyle name="Hyperlink" xfId="535" builtinId="8" hidden="1"/>
    <cellStyle name="Hyperlink" xfId="377" builtinId="8" hidden="1"/>
    <cellStyle name="Hyperlink" xfId="421" builtinId="8" hidden="1"/>
    <cellStyle name="Hyperlink" xfId="686" builtinId="8" hidden="1"/>
    <cellStyle name="Hyperlink" xfId="437" builtinId="8" hidden="1"/>
    <cellStyle name="Hyperlink" xfId="743" builtinId="8" hidden="1"/>
    <cellStyle name="Hyperlink" xfId="320" builtinId="8" hidden="1"/>
    <cellStyle name="Hyperlink" xfId="674" builtinId="8" hidden="1"/>
    <cellStyle name="Hyperlink" xfId="140" builtinId="8" hidden="1"/>
    <cellStyle name="Hyperlink" xfId="64" builtinId="8" hidden="1"/>
    <cellStyle name="Hyperlink" xfId="10" builtinId="8" hidden="1"/>
    <cellStyle name="Hyperlink" xfId="661" builtinId="8" hidden="1"/>
    <cellStyle name="Hyperlink" xfId="439" builtinId="8" hidden="1"/>
    <cellStyle name="Hyperlink" xfId="431" builtinId="8" hidden="1"/>
    <cellStyle name="Hyperlink" xfId="625" builtinId="8" hidden="1"/>
    <cellStyle name="Hyperlink" xfId="122" builtinId="8" hidden="1"/>
    <cellStyle name="Hyperlink" xfId="407" builtinId="8" hidden="1"/>
    <cellStyle name="Hyperlink" xfId="22" builtinId="8" hidden="1"/>
    <cellStyle name="Hyperlink" xfId="519" builtinId="8" hidden="1"/>
    <cellStyle name="Hyperlink" xfId="156" builtinId="8" hidden="1"/>
    <cellStyle name="Hyperlink" xfId="90" builtinId="8" hidden="1"/>
    <cellStyle name="Hyperlink" xfId="513" builtinId="8" hidden="1"/>
    <cellStyle name="Hyperlink" xfId="481" builtinId="8" hidden="1"/>
    <cellStyle name="Hyperlink" xfId="322" builtinId="8" hidden="1"/>
    <cellStyle name="Hyperlink" xfId="286" builtinId="8" hidden="1"/>
    <cellStyle name="Hyperlink" xfId="523" builtinId="8" hidden="1"/>
    <cellStyle name="Hyperlink" xfId="663" builtinId="8" hidden="1"/>
    <cellStyle name="Hyperlink" xfId="435" builtinId="8" hidden="1"/>
    <cellStyle name="Hyperlink" xfId="361" builtinId="8" hidden="1"/>
    <cellStyle name="Hyperlink" xfId="112" builtinId="8" hidden="1"/>
    <cellStyle name="Hyperlink" xfId="649" builtinId="8" hidden="1"/>
    <cellStyle name="Hyperlink" xfId="228" builtinId="8" hidden="1"/>
    <cellStyle name="Hyperlink" xfId="461" builtinId="8" hidden="1"/>
    <cellStyle name="Hyperlink" xfId="118" builtinId="8" hidden="1"/>
    <cellStyle name="Hyperlink" xfId="599" builtinId="8" hidden="1"/>
    <cellStyle name="Hyperlink" xfId="152" builtinId="8" hidden="1"/>
    <cellStyle name="Hyperlink" xfId="102" builtinId="8" hidden="1"/>
    <cellStyle name="Hyperlink" xfId="385" builtinId="8" hidden="1"/>
    <cellStyle name="Hyperlink" xfId="525" builtinId="8" hidden="1"/>
    <cellStyle name="Hyperlink" xfId="505" builtinId="8" hidden="1"/>
    <cellStyle name="Hyperlink" xfId="702" builtinId="8" hidden="1"/>
    <cellStyle name="Hyperlink" xfId="533" builtinId="8" hidden="1"/>
    <cellStyle name="Hyperlink" xfId="447" builtinId="8" hidden="1"/>
    <cellStyle name="Hyperlink" xfId="304" builtinId="8" hidden="1"/>
    <cellStyle name="Hyperlink" xfId="6" builtinId="8" hidden="1"/>
    <cellStyle name="Hyperlink" xfId="220" builtinId="8" hidden="1"/>
    <cellStyle name="Hyperlink" xfId="148" builtinId="8" hidden="1"/>
    <cellStyle name="Hyperlink" xfId="443" builtinId="8" hidden="1"/>
    <cellStyle name="Hyperlink" xfId="415" builtinId="8" hidden="1"/>
    <cellStyle name="Hyperlink" xfId="653" builtinId="8" hidden="1"/>
    <cellStyle name="Hyperlink" xfId="621" builtinId="8" hidden="1"/>
    <cellStyle name="Hyperlink" xfId="539" builtinId="8" hidden="1"/>
    <cellStyle name="Hyperlink" xfId="116" builtinId="8" hidden="1"/>
    <cellStyle name="Hyperlink" xfId="731" builtinId="8" hidden="1"/>
    <cellStyle name="Hyperlink" xfId="387" builtinId="8" hidden="1"/>
    <cellStyle name="Hyperlink" xfId="168" builtinId="8" hidden="1"/>
    <cellStyle name="Hyperlink" xfId="479" builtinId="8" hidden="1"/>
    <cellStyle name="Hyperlink" xfId="597" builtinId="8" hidden="1"/>
    <cellStyle name="Hyperlink" xfId="543" builtinId="8" hidden="1"/>
    <cellStyle name="Hyperlink" xfId="455" builtinId="8" hidden="1"/>
    <cellStyle name="Hyperlink" xfId="655" builtinId="8" hidden="1"/>
    <cellStyle name="Hyperlink" xfId="182" builtinId="8" hidden="1"/>
    <cellStyle name="Hyperlink" xfId="581" builtinId="8" hidden="1"/>
    <cellStyle name="Hyperlink" xfId="98" builtinId="8" hidden="1"/>
    <cellStyle name="Hyperlink" xfId="190" builtinId="8" hidden="1"/>
    <cellStyle name="Hyperlink" xfId="571" builtinId="8" hidden="1"/>
    <cellStyle name="Hyperlink" xfId="296" builtinId="8" hidden="1"/>
    <cellStyle name="Hyperlink" xfId="563" builtinId="8" hidden="1"/>
    <cellStyle name="Hyperlink" xfId="724" builtinId="8" hidden="1"/>
    <cellStyle name="Hyperlink" xfId="559" builtinId="8" hidden="1"/>
    <cellStyle name="Hyperlink" xfId="94" builtinId="8" hidden="1"/>
    <cellStyle name="Hyperlink" xfId="206" builtinId="8" hidden="1"/>
    <cellStyle name="Hyperlink" xfId="613" builtinId="8" hidden="1"/>
    <cellStyle name="Hyperlink" xfId="589" builtinId="8" hidden="1"/>
    <cellStyle name="Hyperlink" xfId="609" builtinId="8" hidden="1"/>
    <cellStyle name="Hyperlink" xfId="633" builtinId="8" hidden="1"/>
    <cellStyle name="Hyperlink" xfId="373" builtinId="8" hidden="1"/>
    <cellStyle name="Hyperlink" xfId="355" builtinId="8" hidden="1"/>
    <cellStyle name="Hyperlink" xfId="100" builtinId="8" hidden="1"/>
    <cellStyle name="Hyperlink" xfId="2" builtinId="8" hidden="1"/>
    <cellStyle name="Hyperlink" xfId="678" builtinId="8" hidden="1"/>
    <cellStyle name="Hyperlink" xfId="52" builtinId="8" hidden="1"/>
    <cellStyle name="Hyperlink" xfId="527" builtinId="8" hidden="1"/>
    <cellStyle name="Hyperlink" xfId="641" builtinId="8" hidden="1"/>
    <cellStyle name="Hyperlink" xfId="264" builtinId="8" hidden="1"/>
    <cellStyle name="Hyperlink" xfId="417" builtinId="8" hidden="1"/>
    <cellStyle name="Hyperlink" xfId="733" builtinId="8" hidden="1"/>
    <cellStyle name="Hyperlink" xfId="515" builtinId="8" hidden="1"/>
    <cellStyle name="Hyperlink" xfId="158" builtinId="8" hidden="1"/>
    <cellStyle name="Hyperlink" xfId="365" builtinId="8" hidden="1"/>
    <cellStyle name="Hyperlink" xfId="124" builtinId="8" hidden="1"/>
    <cellStyle name="Hyperlink" xfId="555" builtinId="8" hidden="1"/>
    <cellStyle name="Hyperlink" xfId="551" builtinId="8" hidden="1"/>
    <cellStyle name="Hyperlink" xfId="144" builtinId="8" hidden="1"/>
    <cellStyle name="Hyperlink" xfId="306" builtinId="8" hidden="1"/>
    <cellStyle name="Hyperlink" xfId="497" builtinId="8" hidden="1"/>
    <cellStyle name="Hyperlink" xfId="501" builtinId="8" hidden="1"/>
    <cellStyle name="Hyperlink" xfId="132" builtinId="8" hidden="1"/>
    <cellStyle name="Hyperlink" xfId="40" builtinId="8" hidden="1"/>
    <cellStyle name="Hyperlink" xfId="399" builtinId="8" hidden="1"/>
    <cellStyle name="Hyperlink" xfId="545" builtinId="8" hidden="1"/>
    <cellStyle name="Hyperlink" xfId="557" builtinId="8" hidden="1"/>
    <cellStyle name="Hyperlink" xfId="252" builtinId="8" hidden="1"/>
    <cellStyle name="Hyperlink" xfId="553" builtinId="8" hidden="1"/>
    <cellStyle name="Hyperlink" xfId="330" builtinId="8" hidden="1"/>
    <cellStyle name="Hyperlink" xfId="292" builtinId="8" hidden="1"/>
    <cellStyle name="Hyperlink" xfId="114" builtinId="8" hidden="1"/>
    <cellStyle name="Hyperlink" xfId="469" builtinId="8" hidden="1"/>
    <cellStyle name="Hyperlink" xfId="619" builtinId="8" hidden="1"/>
    <cellStyle name="Hyperlink" xfId="475" builtinId="8" hidden="1"/>
    <cellStyle name="Hyperlink" xfId="359" builtinId="8" hidden="1"/>
    <cellStyle name="Hyperlink" xfId="710" builtinId="8" hidden="1"/>
    <cellStyle name="Hyperlink" xfId="130" builtinId="8" hidden="1"/>
    <cellStyle name="Hyperlink" xfId="561" builtinId="8" hidden="1"/>
    <cellStyle name="Hyperlink" xfId="226" builtinId="8" hidden="1"/>
    <cellStyle name="Hyperlink" xfId="541" builtinId="8" hidden="1"/>
    <cellStyle name="Hyperlink" xfId="735" builtinId="8" hidden="1"/>
    <cellStyle name="Hyperlink" xfId="585" builtinId="8" hidden="1"/>
    <cellStyle name="Hyperlink" xfId="698" builtinId="8" hidden="1"/>
    <cellStyle name="Hyperlink" xfId="50" builtinId="8" hidden="1"/>
    <cellStyle name="Hyperlink" xfId="692" builtinId="8" hidden="1"/>
    <cellStyle name="Hyperlink" xfId="694" builtinId="8" hidden="1"/>
    <cellStyle name="Hyperlink" xfId="718" builtinId="8" hidden="1"/>
    <cellStyle name="Hyperlink" xfId="240" builtinId="8" hidden="1"/>
    <cellStyle name="Hyperlink" xfId="324" builtinId="8" hidden="1"/>
    <cellStyle name="Hyperlink" xfId="204" builtinId="8" hidden="1"/>
    <cellStyle name="Hyperlink" xfId="668" builtinId="8" hidden="1"/>
    <cellStyle name="Hyperlink" xfId="521" builtinId="8" hidden="1"/>
    <cellStyle name="Hyperlink" xfId="583" builtinId="8" hidden="1"/>
    <cellStyle name="Hyperlink" xfId="379" builtinId="8" hidden="1"/>
    <cellStyle name="Hyperlink" xfId="393" builtinId="8" hidden="1"/>
    <cellStyle name="Hyperlink" xfId="712" builtinId="8" hidden="1"/>
    <cellStyle name="Hyperlink" xfId="690" builtinId="8" hidden="1"/>
    <cellStyle name="Hyperlink" xfId="680" builtinId="8" hidden="1"/>
    <cellStyle name="Hyperlink" xfId="463" builtinId="8" hidden="1"/>
    <cellStyle name="Hyperlink" xfId="58" builtinId="8" hidden="1"/>
    <cellStyle name="Hyperlink" xfId="20" builtinId="8" hidden="1"/>
    <cellStyle name="Hyperlink" xfId="272" builtinId="8" hidden="1"/>
    <cellStyle name="Hyperlink" xfId="357" builtinId="8" hidden="1"/>
    <cellStyle name="Hyperlink" xfId="14" builtinId="8" hidden="1"/>
    <cellStyle name="Hyperlink" xfId="700" builtinId="8" hidden="1"/>
    <cellStyle name="Hyperlink" xfId="491" builtinId="8" hidden="1"/>
    <cellStyle name="Hyperlink" xfId="413" builtinId="8" hidden="1"/>
    <cellStyle name="Hyperlink" xfId="300" builtinId="8" hidden="1"/>
    <cellStyle name="Hyperlink" xfId="493" builtinId="8" hidden="1"/>
    <cellStyle name="Hyperlink" xfId="471" builtinId="8" hidden="1"/>
    <cellStyle name="Hyperlink" xfId="70" builtinId="8" hidden="1"/>
    <cellStyle name="Hyperlink" xfId="108" builtinId="8" hidden="1"/>
    <cellStyle name="Hyperlink" xfId="266" builtinId="8" hidden="1"/>
    <cellStyle name="Hyperlink" xfId="134" builtinId="8" hidden="1"/>
    <cellStyle name="Hyperlink" xfId="397" builtinId="8" hidden="1"/>
    <cellStyle name="Hyperlink" xfId="349" builtinId="8" hidden="1"/>
    <cellStyle name="Hyperlink" xfId="651" builtinId="8" hidden="1"/>
    <cellStyle name="Hyperlink" xfId="741" builtinId="8" hidden="1"/>
    <cellStyle name="Hyperlink" xfId="587" builtinId="8" hidden="1"/>
    <cellStyle name="Hyperlink" xfId="509" builtinId="8" hidden="1"/>
    <cellStyle name="Hyperlink" xfId="192" builtinId="8" hidden="1"/>
    <cellStyle name="Hyperlink" xfId="288" builtinId="8" hidden="1"/>
    <cellStyle name="Hyperlink" xfId="639" builtinId="8" hidden="1"/>
    <cellStyle name="Hyperlink" xfId="645" builtinId="8" hidden="1"/>
    <cellStyle name="Hyperlink" xfId="445" builtinId="8" hidden="1"/>
    <cellStyle name="Hyperlink" xfId="86" builtinId="8" hidden="1"/>
    <cellStyle name="Hyperlink" xfId="270" builtinId="8" hidden="1"/>
    <cellStyle name="Hyperlink" xfId="136" builtinId="8" hidden="1"/>
    <cellStyle name="Hyperlink" xfId="593" builtinId="8" hidden="1"/>
    <cellStyle name="Hyperlink" xfId="722" builtinId="8" hidden="1"/>
    <cellStyle name="Hyperlink" xfId="42" builtinId="8" hidden="1"/>
    <cellStyle name="Hyperlink" xfId="696" builtinId="8" hidden="1"/>
    <cellStyle name="Hyperlink" xfId="224" builtinId="8" hidden="1"/>
    <cellStyle name="Neutral" xfId="747" builtinId="28"/>
    <cellStyle name="Neutral 2" xfId="748" xr:uid="{00000000-0005-0000-0000-0000E7020000}"/>
    <cellStyle name="Normal" xfId="0" builtinId="0"/>
    <cellStyle name="Normal 2" xfId="346" xr:uid="{00000000-0005-0000-0000-0000E9020000}"/>
    <cellStyle name="Normal 3" xfId="730" xr:uid="{00000000-0005-0000-0000-0000EA020000}"/>
    <cellStyle name="Percent" xfId="1" builtinId="5"/>
    <cellStyle name="Percent 2" xfId="347" xr:uid="{00000000-0005-0000-0000-0000EC020000}"/>
  </cellStyles>
  <dxfs count="0"/>
  <tableStyles count="0" defaultTableStyle="TableStyleMedium9" defaultPivotStyle="PivotStyleLight16"/>
  <colors>
    <mruColors>
      <color rgb="FFCCFFCC"/>
      <color rgb="FFFF00FF"/>
      <color rgb="FFFF66FF"/>
      <color rgb="FFFFFF99"/>
      <color rgb="FF00FF00"/>
      <color rgb="FF66FFFF"/>
      <color rgb="FF33CCFF"/>
      <color rgb="FF66FF66"/>
      <color rgb="FF66FF33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AV257"/>
  <sheetViews>
    <sheetView tabSelected="1" topLeftCell="A241" zoomScale="70" zoomScaleNormal="70" zoomScaleSheetLayoutView="100" workbookViewId="0" xr3:uid="{AEA406A1-0E4B-5B11-9CD5-51D6E497D94C}">
      <selection activeCell="B244" sqref="B244"/>
    </sheetView>
  </sheetViews>
  <sheetFormatPr defaultColWidth="9.140625" defaultRowHeight="12.75"/>
  <cols>
    <col min="1" max="1" width="51.28515625" style="2" customWidth="1"/>
    <col min="2" max="2" width="49" style="1" customWidth="1"/>
    <col min="3" max="3" width="17.5703125" style="3" customWidth="1"/>
    <col min="4" max="4" width="10.7109375" style="4" customWidth="1"/>
    <col min="5" max="5" width="5" style="4" customWidth="1"/>
    <col min="6" max="6" width="8.85546875" style="4" customWidth="1"/>
    <col min="7" max="7" width="18.140625" style="3" customWidth="1"/>
    <col min="8" max="8" width="19.42578125" style="170" customWidth="1"/>
    <col min="9" max="9" width="19.140625" style="3" hidden="1" customWidth="1"/>
    <col min="10" max="10" width="51.7109375" style="4" hidden="1" customWidth="1"/>
    <col min="11" max="11" width="15" style="4" hidden="1" customWidth="1"/>
    <col min="12" max="12" width="9.140625" style="4" hidden="1" customWidth="1"/>
    <col min="13" max="13" width="40.28515625" style="4" hidden="1" customWidth="1"/>
    <col min="14" max="16" width="9.140625" style="4" hidden="1" customWidth="1"/>
    <col min="17" max="17" width="45.7109375" style="290" hidden="1" customWidth="1"/>
    <col min="18" max="20" width="9.140625" style="4" hidden="1" customWidth="1"/>
    <col min="21" max="23" width="0" style="4" hidden="1" customWidth="1"/>
    <col min="24" max="16384" width="9.140625" style="4"/>
  </cols>
  <sheetData>
    <row r="1" spans="1:18" ht="23.25" customHeight="1">
      <c r="A1" s="512" t="s">
        <v>0</v>
      </c>
      <c r="B1" s="513"/>
      <c r="C1" s="513"/>
      <c r="D1" s="513"/>
      <c r="E1" s="513"/>
      <c r="F1" s="513"/>
      <c r="G1" s="513"/>
      <c r="H1" s="513"/>
      <c r="I1" s="31"/>
      <c r="J1" s="17"/>
      <c r="K1" s="17"/>
      <c r="L1" s="17"/>
      <c r="M1" s="17"/>
      <c r="N1" s="17"/>
      <c r="O1" s="17"/>
      <c r="P1" s="17"/>
    </row>
    <row r="2" spans="1:18" ht="33" customHeight="1">
      <c r="A2" s="514" t="s">
        <v>1</v>
      </c>
      <c r="B2" s="515"/>
      <c r="C2" s="515"/>
      <c r="D2" s="515"/>
      <c r="E2" s="515"/>
      <c r="F2" s="515"/>
      <c r="G2" s="515"/>
      <c r="H2" s="515"/>
      <c r="I2" s="66"/>
      <c r="J2" s="333"/>
      <c r="K2" s="17"/>
      <c r="L2" s="17"/>
      <c r="M2" s="17"/>
      <c r="N2" s="17"/>
      <c r="O2" s="17"/>
      <c r="P2" s="17"/>
      <c r="Q2" s="2" t="s">
        <v>2</v>
      </c>
    </row>
    <row r="3" spans="1:18" ht="58.5" customHeight="1">
      <c r="A3" s="518" t="s">
        <v>3</v>
      </c>
      <c r="B3" s="518"/>
      <c r="C3" s="518"/>
      <c r="D3" s="518"/>
      <c r="E3" s="518"/>
      <c r="F3" s="518"/>
      <c r="G3" s="518"/>
      <c r="H3" s="518"/>
      <c r="I3" s="289"/>
      <c r="J3" s="17"/>
      <c r="K3" s="17"/>
      <c r="L3" s="17"/>
      <c r="M3" s="17"/>
      <c r="N3" s="17"/>
      <c r="O3" s="17"/>
      <c r="P3" s="17"/>
    </row>
    <row r="4" spans="1:18" s="7" customFormat="1" ht="24.75" customHeight="1">
      <c r="A4" s="31"/>
      <c r="B4" s="31"/>
      <c r="C4" s="31"/>
      <c r="D4" s="17"/>
      <c r="E4" s="17"/>
      <c r="F4" s="17"/>
      <c r="G4" s="31"/>
      <c r="H4" s="275" t="s">
        <v>4</v>
      </c>
      <c r="I4" s="65"/>
      <c r="J4" s="17"/>
      <c r="K4" s="17"/>
      <c r="L4" s="17"/>
      <c r="M4" s="17"/>
      <c r="N4" s="17"/>
      <c r="O4" s="17"/>
      <c r="P4" s="17"/>
      <c r="Q4" s="291"/>
    </row>
    <row r="5" spans="1:18" s="5" customFormat="1" ht="17.25" customHeight="1">
      <c r="A5" s="33" t="s">
        <v>5</v>
      </c>
      <c r="B5" s="128" t="s">
        <v>6</v>
      </c>
      <c r="C5" s="519" t="s">
        <v>7</v>
      </c>
      <c r="D5" s="520"/>
      <c r="E5" s="520"/>
      <c r="F5" s="520"/>
      <c r="G5" s="520"/>
      <c r="H5" s="187"/>
      <c r="I5" s="90"/>
      <c r="J5" s="18"/>
      <c r="K5" s="18"/>
      <c r="L5" s="18"/>
      <c r="M5" s="18"/>
      <c r="N5" s="18"/>
      <c r="O5" s="18"/>
      <c r="P5" s="18"/>
      <c r="Q5" s="292"/>
    </row>
    <row r="6" spans="1:18" s="5" customFormat="1" ht="24.75" customHeight="1">
      <c r="A6" s="33" t="s">
        <v>8</v>
      </c>
      <c r="B6" s="34" t="s">
        <v>9</v>
      </c>
      <c r="C6" s="519" t="s">
        <v>10</v>
      </c>
      <c r="D6" s="520"/>
      <c r="E6" s="520"/>
      <c r="F6" s="520"/>
      <c r="G6" s="520"/>
      <c r="H6" s="279"/>
      <c r="I6" s="90"/>
      <c r="J6" s="18"/>
      <c r="K6" s="18"/>
      <c r="L6" s="18"/>
      <c r="M6" s="18"/>
      <c r="N6" s="18"/>
      <c r="O6" s="18"/>
      <c r="P6" s="18"/>
      <c r="Q6" s="292"/>
    </row>
    <row r="7" spans="1:18" ht="17.25" customHeight="1">
      <c r="A7" s="33" t="s">
        <v>11</v>
      </c>
      <c r="B7" s="34" t="s">
        <v>12</v>
      </c>
      <c r="C7" s="519" t="s">
        <v>13</v>
      </c>
      <c r="D7" s="520"/>
      <c r="E7" s="520"/>
      <c r="F7" s="520"/>
      <c r="G7" s="520"/>
      <c r="H7" s="187" t="s">
        <v>14</v>
      </c>
      <c r="I7" s="90"/>
      <c r="J7" s="19"/>
      <c r="K7" s="19"/>
      <c r="L7" s="19"/>
      <c r="M7" s="19"/>
      <c r="N7" s="19"/>
      <c r="O7" s="19"/>
      <c r="P7" s="17"/>
    </row>
    <row r="8" spans="1:18" ht="9.75" customHeight="1" thickBot="1">
      <c r="A8" s="33"/>
      <c r="B8" s="35"/>
      <c r="C8" s="454"/>
      <c r="D8" s="455"/>
      <c r="E8" s="455"/>
      <c r="F8" s="455"/>
      <c r="G8" s="455"/>
      <c r="H8" s="186"/>
      <c r="I8" s="90"/>
      <c r="J8" s="19"/>
      <c r="K8" s="19"/>
      <c r="L8" s="19"/>
      <c r="M8" s="19"/>
      <c r="N8" s="19"/>
      <c r="O8" s="19"/>
      <c r="P8" s="17"/>
    </row>
    <row r="9" spans="1:18" s="78" customFormat="1" ht="27" customHeight="1" thickTop="1" thickBot="1">
      <c r="A9" s="87" t="s">
        <v>15</v>
      </c>
      <c r="B9" s="91"/>
      <c r="C9" s="88" t="s">
        <v>16</v>
      </c>
      <c r="D9" s="521">
        <f>SUM(D23,D105,D132,D167,D191,D248)</f>
        <v>0</v>
      </c>
      <c r="E9" s="522"/>
      <c r="F9" s="523"/>
      <c r="G9" s="89" t="s">
        <v>17</v>
      </c>
      <c r="H9" s="436">
        <f>SUM(H23,H105,H132,H167,H191,H248)</f>
        <v>200</v>
      </c>
      <c r="I9" s="75"/>
      <c r="J9" s="32"/>
      <c r="K9" s="32"/>
      <c r="L9" s="80"/>
      <c r="M9" s="80"/>
      <c r="N9" s="80"/>
      <c r="O9" s="80"/>
      <c r="P9" s="79"/>
      <c r="Q9" s="293"/>
      <c r="R9" s="78" t="s">
        <v>14</v>
      </c>
    </row>
    <row r="10" spans="1:18" s="79" customFormat="1" ht="27" customHeight="1" thickTop="1">
      <c r="A10" s="320"/>
      <c r="B10" s="321"/>
      <c r="C10" s="322"/>
      <c r="D10" s="327"/>
      <c r="E10" s="327"/>
      <c r="F10" s="327"/>
      <c r="G10" s="323"/>
      <c r="H10" s="328"/>
      <c r="I10" s="75"/>
      <c r="J10" s="32"/>
      <c r="K10" s="32"/>
      <c r="L10" s="80"/>
      <c r="M10" s="80"/>
      <c r="N10" s="80"/>
      <c r="O10" s="80"/>
      <c r="Q10" s="324"/>
    </row>
    <row r="11" spans="1:18" s="78" customFormat="1" ht="36.75" customHeight="1">
      <c r="A11" s="312" t="s">
        <v>18</v>
      </c>
      <c r="B11" s="313" t="s">
        <v>19</v>
      </c>
      <c r="C11" s="313" t="s">
        <v>20</v>
      </c>
      <c r="D11" s="313"/>
      <c r="E11" s="313"/>
      <c r="F11" s="313"/>
      <c r="G11" s="313" t="s">
        <v>21</v>
      </c>
      <c r="H11" s="313"/>
      <c r="I11" s="75"/>
      <c r="J11" s="334"/>
      <c r="K11" s="32"/>
      <c r="L11" s="80"/>
      <c r="M11" s="79"/>
      <c r="N11" s="79"/>
      <c r="O11" s="79"/>
      <c r="P11" s="79"/>
      <c r="Q11" s="293"/>
    </row>
    <row r="12" spans="1:18" s="79" customFormat="1" ht="36.75" customHeight="1">
      <c r="A12" s="391" t="s">
        <v>22</v>
      </c>
      <c r="B12" s="390"/>
      <c r="C12" s="389"/>
      <c r="D12" s="388"/>
      <c r="E12" s="390"/>
      <c r="F12" s="393"/>
      <c r="G12" s="387"/>
      <c r="H12" s="386"/>
      <c r="I12" s="75"/>
      <c r="J12" s="364"/>
      <c r="K12" s="32"/>
      <c r="L12" s="80"/>
      <c r="Q12" s="324"/>
    </row>
    <row r="13" spans="1:18" s="79" customFormat="1" ht="36.75" customHeight="1">
      <c r="A13" s="394" t="s">
        <v>23</v>
      </c>
      <c r="B13" s="392" t="s">
        <v>24</v>
      </c>
      <c r="C13" s="103" t="s">
        <v>25</v>
      </c>
      <c r="D13" s="526" t="str">
        <f>IF(C13="Select Yes or No","",IF(C13="yes","Project qualifies to complete scoring","Proceed to next question"))</f>
        <v/>
      </c>
      <c r="E13" s="527"/>
      <c r="F13" s="527"/>
      <c r="G13" s="527"/>
      <c r="H13" s="528"/>
      <c r="I13" s="75"/>
      <c r="J13" s="364"/>
      <c r="K13" s="32"/>
      <c r="L13" s="80"/>
      <c r="Q13" s="324"/>
    </row>
    <row r="14" spans="1:18" s="79" customFormat="1" ht="36.75" customHeight="1">
      <c r="A14" s="394" t="s">
        <v>26</v>
      </c>
      <c r="B14" s="392" t="s">
        <v>27</v>
      </c>
      <c r="C14" s="103" t="s">
        <v>25</v>
      </c>
      <c r="D14" s="526" t="str">
        <f>IF(C14="Select Yes or No","",IF(C14="no","Proceed to next question","Verify project type"))</f>
        <v/>
      </c>
      <c r="E14" s="527"/>
      <c r="F14" s="527"/>
      <c r="G14" s="527"/>
      <c r="H14" s="528"/>
      <c r="I14" s="75"/>
      <c r="J14" s="364"/>
      <c r="K14" s="32"/>
      <c r="L14" s="80"/>
      <c r="Q14" s="324"/>
    </row>
    <row r="15" spans="1:18" s="68" customFormat="1" ht="18" customHeight="1">
      <c r="A15" s="42" t="s">
        <v>28</v>
      </c>
      <c r="B15" s="188"/>
      <c r="C15" s="190"/>
      <c r="D15" s="456"/>
      <c r="E15" s="188"/>
      <c r="F15" s="127"/>
      <c r="G15" s="189"/>
      <c r="H15" s="204"/>
      <c r="I15" s="192"/>
      <c r="J15" s="85"/>
      <c r="K15" s="69"/>
      <c r="L15" s="69"/>
      <c r="M15" s="69"/>
      <c r="N15" s="69"/>
      <c r="O15" s="69"/>
      <c r="P15" s="69"/>
      <c r="Q15" s="330" t="s">
        <v>29</v>
      </c>
    </row>
    <row r="16" spans="1:18" s="68" customFormat="1" ht="29.25" customHeight="1">
      <c r="A16" s="420" t="s">
        <v>30</v>
      </c>
      <c r="B16" s="209" t="s">
        <v>31</v>
      </c>
      <c r="C16" s="103" t="s">
        <v>25</v>
      </c>
      <c r="D16" s="490" t="str">
        <f>IF(C16="Select Yes or No"," ",(IF(C16="yes","Progress to next Section","Stop Must Commit to CES")))</f>
        <v xml:space="preserve"> </v>
      </c>
      <c r="E16" s="491"/>
      <c r="F16" s="491"/>
      <c r="G16" s="491"/>
      <c r="H16" s="492"/>
      <c r="I16" s="23"/>
      <c r="J16" s="335"/>
      <c r="K16" s="69"/>
      <c r="L16" s="69"/>
      <c r="M16" s="69"/>
      <c r="N16" s="69"/>
      <c r="O16" s="69"/>
      <c r="P16" s="69"/>
      <c r="Q16" s="330"/>
    </row>
    <row r="17" spans="1:20" s="68" customFormat="1" ht="18" customHeight="1">
      <c r="A17" s="42" t="s">
        <v>32</v>
      </c>
      <c r="B17" s="188"/>
      <c r="C17" s="190"/>
      <c r="D17" s="456"/>
      <c r="E17" s="188"/>
      <c r="F17" s="127"/>
      <c r="G17" s="189"/>
      <c r="H17" s="204"/>
      <c r="I17" s="23"/>
      <c r="J17" s="102"/>
      <c r="K17" s="69"/>
      <c r="L17" s="69"/>
      <c r="M17" s="69"/>
      <c r="N17" s="69"/>
      <c r="O17" s="69"/>
      <c r="P17" s="69"/>
      <c r="Q17" s="330"/>
    </row>
    <row r="18" spans="1:20" s="68" customFormat="1" ht="29.25" customHeight="1">
      <c r="A18" s="420" t="s">
        <v>33</v>
      </c>
      <c r="B18" s="458" t="s">
        <v>34</v>
      </c>
      <c r="C18" s="103" t="s">
        <v>25</v>
      </c>
      <c r="D18" s="481" t="str">
        <f>IF(C18="Select yes or no"," ",IF((AND(C18="yes")),"Progress to next section","Stop. Must complete training with RTFHSD.org."))</f>
        <v xml:space="preserve"> </v>
      </c>
      <c r="E18" s="482"/>
      <c r="F18" s="482"/>
      <c r="G18" s="482"/>
      <c r="H18" s="483"/>
      <c r="I18" s="28"/>
      <c r="J18" s="329"/>
      <c r="K18" s="69"/>
      <c r="L18" s="69"/>
      <c r="M18" s="69"/>
      <c r="N18" s="69"/>
      <c r="O18" s="69"/>
      <c r="P18" s="69"/>
      <c r="Q18" s="330"/>
    </row>
    <row r="19" spans="1:20" s="68" customFormat="1" ht="21.75" customHeight="1">
      <c r="A19" s="352" t="s">
        <v>35</v>
      </c>
      <c r="B19" s="353"/>
      <c r="C19" s="353"/>
      <c r="D19" s="353"/>
      <c r="E19" s="353"/>
      <c r="F19" s="354"/>
      <c r="G19" s="354"/>
      <c r="H19" s="355"/>
      <c r="I19" s="28"/>
      <c r="J19" s="329"/>
      <c r="K19" s="69"/>
      <c r="L19" s="69"/>
      <c r="M19" s="69"/>
      <c r="N19" s="69"/>
      <c r="O19" s="69"/>
      <c r="P19" s="69"/>
      <c r="Q19" s="330"/>
    </row>
    <row r="20" spans="1:20" s="68" customFormat="1" ht="37.5" customHeight="1">
      <c r="A20" s="418" t="s">
        <v>36</v>
      </c>
      <c r="B20" s="421" t="s">
        <v>37</v>
      </c>
      <c r="C20" s="351" t="s">
        <v>25</v>
      </c>
      <c r="D20" s="481" t="str">
        <f>IF(C20="Select yes or no","",IF(C20="yes","Continue to next question","Stop. Units must be entered in CES"))</f>
        <v/>
      </c>
      <c r="E20" s="482"/>
      <c r="F20" s="482"/>
      <c r="G20" s="482"/>
      <c r="H20" s="483"/>
      <c r="I20" s="28"/>
      <c r="J20" s="329"/>
      <c r="K20" s="69"/>
      <c r="L20" s="69"/>
      <c r="M20" s="69"/>
      <c r="N20" s="69"/>
      <c r="O20" s="69"/>
      <c r="P20" s="69"/>
      <c r="Q20" s="330"/>
    </row>
    <row r="21" spans="1:20" s="68" customFormat="1" ht="33.75" customHeight="1">
      <c r="A21" s="419" t="s">
        <v>38</v>
      </c>
      <c r="B21" s="422" t="s">
        <v>39</v>
      </c>
      <c r="C21" s="103" t="s">
        <v>25</v>
      </c>
      <c r="D21" s="484" t="str">
        <f>IF(C21="SELECT YES OR NO","",IF((AND(C16="Yes",C21="Yes",C18="Yes",C20="Yes")),"Progress to Section 1","Stop. Do not complete scoring. Other action required."))</f>
        <v/>
      </c>
      <c r="E21" s="485"/>
      <c r="F21" s="485"/>
      <c r="G21" s="485"/>
      <c r="H21" s="486"/>
      <c r="I21" s="28"/>
      <c r="J21" s="329"/>
      <c r="K21" s="69"/>
      <c r="L21" s="69"/>
      <c r="M21" s="69"/>
      <c r="N21" s="69"/>
      <c r="O21" s="69"/>
      <c r="P21" s="69"/>
      <c r="Q21" s="330"/>
    </row>
    <row r="22" spans="1:20" s="78" customFormat="1" ht="30.75" customHeight="1" thickBot="1">
      <c r="A22" s="76"/>
      <c r="B22" s="75"/>
      <c r="C22" s="74"/>
      <c r="D22" s="325"/>
      <c r="E22" s="325"/>
      <c r="F22" s="325"/>
      <c r="G22" s="73"/>
      <c r="H22" s="326"/>
      <c r="I22" s="75"/>
      <c r="J22" s="334"/>
      <c r="K22" s="32"/>
      <c r="L22" s="80"/>
      <c r="M22" s="80"/>
      <c r="N22" s="80"/>
      <c r="O22" s="80"/>
      <c r="P22" s="79"/>
      <c r="Q22" s="293"/>
    </row>
    <row r="23" spans="1:20" s="78" customFormat="1" ht="51.75" customHeight="1" thickTop="1" thickBot="1">
      <c r="A23" s="133" t="s">
        <v>40</v>
      </c>
      <c r="B23" s="82"/>
      <c r="C23" s="77" t="s">
        <v>41</v>
      </c>
      <c r="D23" s="500">
        <f>SUM(D25+D37+D42+D50+D58+D66+D74+D87+D94+D81)</f>
        <v>0</v>
      </c>
      <c r="E23" s="501"/>
      <c r="F23" s="502"/>
      <c r="G23" s="77" t="s">
        <v>17</v>
      </c>
      <c r="H23" s="241">
        <f>SUM(H25+H37+H42+H50+H58+H66+H74+H81+H87+H94)</f>
        <v>98</v>
      </c>
      <c r="I23" s="75"/>
      <c r="J23" s="332"/>
      <c r="K23" s="32"/>
      <c r="L23" s="80"/>
      <c r="M23" s="80"/>
      <c r="N23" s="80"/>
      <c r="O23" s="80"/>
      <c r="P23" s="79"/>
      <c r="Q23" s="305" t="s">
        <v>42</v>
      </c>
    </row>
    <row r="24" spans="1:20" s="68" customFormat="1" ht="76.5" customHeight="1" thickTop="1">
      <c r="A24" s="288" t="s">
        <v>43</v>
      </c>
      <c r="B24" s="288" t="s">
        <v>44</v>
      </c>
      <c r="C24" s="288" t="s">
        <v>45</v>
      </c>
      <c r="D24" s="494" t="s">
        <v>46</v>
      </c>
      <c r="E24" s="494"/>
      <c r="F24" s="494"/>
      <c r="G24" s="288" t="s">
        <v>47</v>
      </c>
      <c r="H24" s="185" t="s">
        <v>48</v>
      </c>
      <c r="I24" s="288"/>
      <c r="J24" s="55" t="s">
        <v>49</v>
      </c>
      <c r="K24" s="101"/>
      <c r="L24" s="101"/>
      <c r="M24" s="101"/>
      <c r="N24" s="101"/>
      <c r="O24" s="101"/>
      <c r="P24" s="69"/>
      <c r="Q24" s="294"/>
    </row>
    <row r="25" spans="1:20" s="70" customFormat="1" ht="67.5" customHeight="1">
      <c r="A25" s="488" t="s">
        <v>50</v>
      </c>
      <c r="B25" s="489"/>
      <c r="C25" s="189" t="s">
        <v>51</v>
      </c>
      <c r="D25" s="38">
        <f>SUM(G26:G31)</f>
        <v>0</v>
      </c>
      <c r="E25" s="188"/>
      <c r="F25" s="188"/>
      <c r="G25" s="189" t="s">
        <v>17</v>
      </c>
      <c r="H25" s="204">
        <v>37</v>
      </c>
      <c r="I25" s="362" t="s">
        <v>14</v>
      </c>
      <c r="J25" s="83"/>
      <c r="K25" s="83"/>
      <c r="L25" s="67"/>
      <c r="M25" s="67"/>
      <c r="N25" s="67"/>
      <c r="O25" s="67"/>
      <c r="P25" s="71"/>
      <c r="Q25" s="295" t="s">
        <v>52</v>
      </c>
    </row>
    <row r="26" spans="1:20" ht="25.5" customHeight="1">
      <c r="A26" s="153" t="s">
        <v>53</v>
      </c>
      <c r="B26" s="154" t="s">
        <v>54</v>
      </c>
      <c r="C26" s="356"/>
      <c r="D26" s="409">
        <v>0</v>
      </c>
      <c r="E26" s="217" t="s">
        <v>55</v>
      </c>
      <c r="F26" s="410">
        <v>0.47</v>
      </c>
      <c r="G26" s="357" t="str">
        <f>IF(ISBLANK(C34),"",IF(F26&gt;C34,H26,""))</f>
        <v/>
      </c>
      <c r="H26" s="358">
        <v>0</v>
      </c>
      <c r="I26" s="30"/>
      <c r="J26" s="459"/>
      <c r="K26" s="459"/>
      <c r="L26" s="459"/>
      <c r="M26" s="459"/>
      <c r="N26" s="459"/>
      <c r="O26" s="19"/>
      <c r="P26" s="17"/>
      <c r="T26" s="125" t="s">
        <v>14</v>
      </c>
    </row>
    <row r="27" spans="1:20" ht="25.5" customHeight="1">
      <c r="A27" s="158" t="s">
        <v>56</v>
      </c>
      <c r="B27" s="153" t="s">
        <v>57</v>
      </c>
      <c r="C27" s="356" t="s">
        <v>14</v>
      </c>
      <c r="D27" s="409">
        <v>0.47</v>
      </c>
      <c r="E27" s="217" t="s">
        <v>58</v>
      </c>
      <c r="F27" s="218">
        <v>0.57999999999999996</v>
      </c>
      <c r="G27" s="350" t="str">
        <f>IF(OR(D27=$C$34,AND(D27&lt;$C$34, F27&gt;$C$34)),H27,"")</f>
        <v/>
      </c>
      <c r="H27" s="246">
        <f>H26+J31</f>
        <v>7</v>
      </c>
      <c r="I27" s="337" t="s">
        <v>14</v>
      </c>
      <c r="J27" s="26" t="s">
        <v>14</v>
      </c>
      <c r="K27" s="459" t="s">
        <v>14</v>
      </c>
      <c r="L27" s="22"/>
      <c r="M27" s="22"/>
      <c r="N27" s="459"/>
      <c r="O27" s="19"/>
      <c r="P27" s="17"/>
    </row>
    <row r="28" spans="1:20" ht="25.5" customHeight="1">
      <c r="A28" s="153" t="s">
        <v>59</v>
      </c>
      <c r="B28" s="154" t="s">
        <v>60</v>
      </c>
      <c r="C28" s="356"/>
      <c r="D28" s="409">
        <v>0.57999999999999996</v>
      </c>
      <c r="E28" s="217" t="s">
        <v>61</v>
      </c>
      <c r="F28" s="218">
        <v>0.68</v>
      </c>
      <c r="G28" s="350" t="str">
        <f t="shared" ref="G28:G30" si="0">IF(OR(D28=$C$34,AND(D28&lt;$C$34, F28&gt;$C$34)),H28,"")</f>
        <v/>
      </c>
      <c r="H28" s="246">
        <f>H27+J32</f>
        <v>15</v>
      </c>
      <c r="I28" s="63"/>
      <c r="J28" s="21">
        <v>0.47</v>
      </c>
      <c r="K28" s="459" t="s">
        <v>62</v>
      </c>
      <c r="L28" s="22"/>
      <c r="M28" s="22"/>
      <c r="N28" s="459"/>
      <c r="O28" s="19"/>
      <c r="P28" s="17"/>
    </row>
    <row r="29" spans="1:20" ht="25.5" customHeight="1">
      <c r="A29" s="153" t="s">
        <v>63</v>
      </c>
      <c r="B29" s="153" t="s">
        <v>64</v>
      </c>
      <c r="C29" s="356"/>
      <c r="D29" s="409">
        <v>0.68</v>
      </c>
      <c r="E29" s="217" t="s">
        <v>61</v>
      </c>
      <c r="F29" s="218">
        <v>0.79</v>
      </c>
      <c r="G29" s="350" t="str">
        <f t="shared" si="0"/>
        <v/>
      </c>
      <c r="H29" s="246">
        <f>H28+J31</f>
        <v>22</v>
      </c>
      <c r="I29" s="337" t="s">
        <v>14</v>
      </c>
      <c r="J29" s="21">
        <f>(1-J28)/5</f>
        <v>0.10600000000000001</v>
      </c>
      <c r="K29" s="459" t="s">
        <v>65</v>
      </c>
      <c r="L29" s="22"/>
      <c r="M29" s="22"/>
      <c r="N29" s="459"/>
      <c r="O29" s="19"/>
      <c r="P29" s="17"/>
    </row>
    <row r="30" spans="1:20" ht="25.5" customHeight="1">
      <c r="A30" s="153" t="s">
        <v>66</v>
      </c>
      <c r="B30" s="153" t="s">
        <v>67</v>
      </c>
      <c r="C30" s="356"/>
      <c r="D30" s="409">
        <v>0.79</v>
      </c>
      <c r="E30" s="217" t="s">
        <v>61</v>
      </c>
      <c r="F30" s="218">
        <v>0.89</v>
      </c>
      <c r="G30" s="350" t="str">
        <f t="shared" si="0"/>
        <v/>
      </c>
      <c r="H30" s="246">
        <f>H29+J32</f>
        <v>30</v>
      </c>
      <c r="I30" s="63"/>
      <c r="J30" s="23">
        <f>H25</f>
        <v>37</v>
      </c>
      <c r="K30" s="459" t="s">
        <v>68</v>
      </c>
      <c r="L30" s="22"/>
      <c r="M30" s="22"/>
      <c r="N30" s="459"/>
      <c r="O30" s="19"/>
      <c r="P30" s="17"/>
    </row>
    <row r="31" spans="1:20" ht="18.75" customHeight="1">
      <c r="A31" s="487" t="s">
        <v>69</v>
      </c>
      <c r="B31" s="487"/>
      <c r="C31" s="359" t="str">
        <f>IF(ISBLANK(C26),"",SUM(C27:C30))</f>
        <v/>
      </c>
      <c r="D31" s="409">
        <v>0.89</v>
      </c>
      <c r="E31" s="217" t="s">
        <v>70</v>
      </c>
      <c r="F31" s="412" t="s">
        <v>71</v>
      </c>
      <c r="G31" s="350" t="str">
        <f>IF(COUNT(C34)=0,"",IF(OR(D31=C34,D31&lt;C34),H31,""))</f>
        <v/>
      </c>
      <c r="H31" s="246">
        <f>H30+J31</f>
        <v>37</v>
      </c>
      <c r="I31" s="63"/>
      <c r="J31" s="102">
        <v>7</v>
      </c>
      <c r="K31" s="134" t="s">
        <v>72</v>
      </c>
      <c r="L31" s="22"/>
      <c r="M31" s="22"/>
      <c r="N31" s="459"/>
      <c r="O31" s="19"/>
      <c r="P31" s="17"/>
    </row>
    <row r="32" spans="1:20" ht="17.100000000000001" customHeight="1">
      <c r="A32" s="487" t="s">
        <v>73</v>
      </c>
      <c r="B32" s="487"/>
      <c r="C32" s="360" t="str">
        <f>IF(COUNT(C31)=0,"",(C26-C31))</f>
        <v/>
      </c>
      <c r="D32" s="19"/>
      <c r="E32" s="19"/>
      <c r="F32" s="19"/>
      <c r="G32" s="192"/>
      <c r="H32" s="192"/>
      <c r="I32" s="192"/>
      <c r="J32" s="192">
        <v>8</v>
      </c>
      <c r="K32" s="19"/>
      <c r="L32" s="19"/>
      <c r="M32" s="19"/>
      <c r="N32" s="19"/>
      <c r="O32" s="19"/>
      <c r="P32" s="17"/>
    </row>
    <row r="33" spans="1:17" ht="17.100000000000001" customHeight="1">
      <c r="A33" s="209" t="s">
        <v>74</v>
      </c>
      <c r="B33" s="209" t="s">
        <v>75</v>
      </c>
      <c r="C33" s="361" t="s">
        <v>14</v>
      </c>
      <c r="D33" s="19"/>
      <c r="E33" s="19"/>
      <c r="F33" s="19"/>
      <c r="G33" s="192"/>
      <c r="H33" s="285"/>
      <c r="I33" s="285"/>
      <c r="J33" s="19"/>
      <c r="K33" s="19"/>
      <c r="L33" s="19"/>
      <c r="M33" s="19"/>
      <c r="N33" s="85" t="s">
        <v>14</v>
      </c>
      <c r="O33" s="19"/>
      <c r="P33" s="17"/>
    </row>
    <row r="34" spans="1:17" ht="25.5">
      <c r="A34" s="424" t="s">
        <v>76</v>
      </c>
      <c r="B34" s="210" t="s">
        <v>77</v>
      </c>
      <c r="C34" s="423" t="str">
        <f>IF(COUNT(C33)=0,"",IF(SUM(C26:C33)=0,0,C33/(C26-C31)))</f>
        <v/>
      </c>
      <c r="D34" s="446">
        <f>IF(ISBLANK(C33),"",IF(SUM(C26:C33)=0,0,C33/(C26-C31)))</f>
        <v>0</v>
      </c>
      <c r="E34" s="19"/>
      <c r="F34" s="19"/>
      <c r="G34" s="192"/>
      <c r="H34" s="285"/>
      <c r="I34" s="285"/>
      <c r="J34" s="19" t="e">
        <f>IF(ISBLANK(C33),"", C33/(C26-C31))</f>
        <v>#VALUE!</v>
      </c>
      <c r="K34" s="19"/>
      <c r="L34" s="19"/>
      <c r="M34" s="19"/>
      <c r="N34" s="85" t="s">
        <v>14</v>
      </c>
      <c r="O34" s="19"/>
      <c r="P34" s="17"/>
      <c r="Q34" s="304" t="s">
        <v>78</v>
      </c>
    </row>
    <row r="35" spans="1:17" ht="15">
      <c r="A35" s="147"/>
      <c r="B35" s="147"/>
      <c r="C35" s="303"/>
      <c r="D35" s="19"/>
      <c r="E35" s="19"/>
      <c r="F35" s="19"/>
      <c r="G35" s="192"/>
      <c r="H35" s="284"/>
      <c r="I35" s="285"/>
      <c r="J35" s="19"/>
      <c r="L35" s="19"/>
      <c r="M35" s="19"/>
      <c r="N35" s="85"/>
      <c r="O35" s="19"/>
      <c r="P35" s="17"/>
    </row>
    <row r="36" spans="1:17" ht="15">
      <c r="A36" s="147"/>
      <c r="B36" s="147"/>
      <c r="C36" s="303"/>
      <c r="D36" s="19"/>
      <c r="E36" s="19"/>
      <c r="F36" s="19"/>
      <c r="G36" s="192"/>
      <c r="H36" s="284"/>
      <c r="I36" s="285"/>
      <c r="J36" s="19"/>
      <c r="L36" s="19"/>
      <c r="M36" s="19"/>
      <c r="N36" s="85"/>
      <c r="O36" s="19"/>
      <c r="P36" s="17"/>
    </row>
    <row r="37" spans="1:17" s="70" customFormat="1" ht="67.5" customHeight="1">
      <c r="A37" s="488" t="s">
        <v>79</v>
      </c>
      <c r="B37" s="489"/>
      <c r="C37" s="189" t="s">
        <v>51</v>
      </c>
      <c r="D37" s="38">
        <f>IF(OR(SUM(C39:C40)=5,SUM(C39:C40)=10),H37,0)</f>
        <v>0</v>
      </c>
      <c r="E37" s="188"/>
      <c r="F37" s="188"/>
      <c r="G37" s="189" t="s">
        <v>17</v>
      </c>
      <c r="H37" s="204">
        <v>5</v>
      </c>
      <c r="I37" s="64"/>
      <c r="J37" s="338"/>
      <c r="K37" s="71"/>
      <c r="L37" s="67"/>
      <c r="M37" s="67"/>
      <c r="N37" s="67"/>
      <c r="O37" s="67"/>
      <c r="P37" s="71"/>
      <c r="Q37" s="295" t="s">
        <v>52</v>
      </c>
    </row>
    <row r="38" spans="1:17" ht="30.75" customHeight="1">
      <c r="A38" s="306" t="s">
        <v>80</v>
      </c>
      <c r="B38" s="453" t="s">
        <v>81</v>
      </c>
      <c r="C38" s="340"/>
      <c r="D38" s="19"/>
      <c r="E38" s="19"/>
      <c r="F38" s="19"/>
      <c r="G38" s="192"/>
      <c r="H38" s="284"/>
      <c r="I38" s="285"/>
      <c r="J38" s="342"/>
      <c r="K38" s="17"/>
      <c r="L38" s="19"/>
      <c r="M38" s="19"/>
      <c r="N38" s="85"/>
      <c r="O38" s="19"/>
      <c r="P38" s="17"/>
    </row>
    <row r="39" spans="1:17">
      <c r="A39" s="462" t="s">
        <v>82</v>
      </c>
      <c r="B39" s="462" t="s">
        <v>83</v>
      </c>
      <c r="C39" s="341" t="str">
        <f>IF(ISBLANK(C38),"",IF(AND(C34&gt;C38,C34-C38&gt;=0.1),5,0))</f>
        <v/>
      </c>
      <c r="D39" s="524" t="str">
        <f>IF(SUM(C39:C40)=10,"Even with both criteria met, max points possible are 5.","")</f>
        <v/>
      </c>
      <c r="E39" s="525"/>
      <c r="F39" s="525"/>
      <c r="G39" s="525"/>
      <c r="H39" s="525"/>
      <c r="I39" s="285"/>
      <c r="J39" s="19"/>
      <c r="K39" s="17"/>
      <c r="L39" s="19"/>
      <c r="M39" s="19"/>
      <c r="N39" s="85"/>
      <c r="O39" s="19"/>
      <c r="P39" s="17"/>
      <c r="Q39" s="304" t="s">
        <v>78</v>
      </c>
    </row>
    <row r="40" spans="1:17">
      <c r="A40" s="462" t="s">
        <v>84</v>
      </c>
      <c r="B40" s="462" t="s">
        <v>83</v>
      </c>
      <c r="C40" s="341" t="str">
        <f>IF(ISBLANK(C38),"",IF(AND(C34&gt;=0.9,(C38&gt;=0.9)),5,0))</f>
        <v/>
      </c>
      <c r="D40" s="524"/>
      <c r="E40" s="525"/>
      <c r="F40" s="525"/>
      <c r="G40" s="525"/>
      <c r="H40" s="525"/>
      <c r="I40" s="285"/>
      <c r="J40" s="19"/>
      <c r="K40" s="19"/>
      <c r="L40" s="19"/>
      <c r="M40" s="19"/>
      <c r="N40" s="85"/>
      <c r="O40" s="19"/>
      <c r="P40" s="17"/>
      <c r="Q40" s="304" t="s">
        <v>78</v>
      </c>
    </row>
    <row r="41" spans="1:17" ht="15">
      <c r="A41" s="147"/>
      <c r="B41" s="147"/>
      <c r="C41" s="303"/>
      <c r="D41" s="19"/>
      <c r="E41" s="19"/>
      <c r="F41" s="19"/>
      <c r="G41" s="192"/>
      <c r="H41" s="284"/>
      <c r="I41" s="285"/>
      <c r="J41" s="19"/>
      <c r="K41" s="19"/>
      <c r="L41" s="19"/>
      <c r="M41" s="19"/>
      <c r="N41" s="85"/>
      <c r="O41" s="19"/>
      <c r="P41" s="17"/>
    </row>
    <row r="42" spans="1:17" s="7" customFormat="1" ht="15.95" customHeight="1">
      <c r="A42" s="42" t="s">
        <v>85</v>
      </c>
      <c r="B42" s="188"/>
      <c r="C42" s="190" t="s">
        <v>51</v>
      </c>
      <c r="D42" s="456">
        <f>SUM(G43:G48)</f>
        <v>0</v>
      </c>
      <c r="E42" s="188"/>
      <c r="F42" s="127"/>
      <c r="G42" s="189" t="s">
        <v>17</v>
      </c>
      <c r="H42" s="204">
        <v>15</v>
      </c>
      <c r="I42" s="72"/>
      <c r="J42" s="459"/>
      <c r="K42" s="459"/>
      <c r="L42" s="459"/>
      <c r="M42" s="459"/>
      <c r="N42" s="459"/>
      <c r="O42" s="19"/>
      <c r="P42" s="17"/>
      <c r="Q42" s="296"/>
    </row>
    <row r="43" spans="1:17" ht="12.75" customHeight="1">
      <c r="A43" s="463" t="s">
        <v>86</v>
      </c>
      <c r="B43" s="463" t="s">
        <v>87</v>
      </c>
      <c r="C43" s="516"/>
      <c r="D43" s="405">
        <v>0</v>
      </c>
      <c r="E43" s="217" t="s">
        <v>55</v>
      </c>
      <c r="F43" s="406">
        <f>J45</f>
        <v>0.4</v>
      </c>
      <c r="G43" s="280" t="str">
        <f>IF(ISBLANK(C43),"",IF(F43&gt;C43,H43,""))</f>
        <v/>
      </c>
      <c r="H43" s="246">
        <v>0</v>
      </c>
      <c r="I43" s="63"/>
      <c r="J43" s="459"/>
      <c r="K43" s="459"/>
      <c r="L43" s="459"/>
      <c r="M43" s="459"/>
      <c r="N43" s="459"/>
      <c r="O43" s="19"/>
      <c r="P43" s="17"/>
    </row>
    <row r="44" spans="1:17" ht="12.75" customHeight="1">
      <c r="A44" s="463"/>
      <c r="B44" s="463"/>
      <c r="C44" s="517"/>
      <c r="D44" s="405">
        <f>F43</f>
        <v>0.4</v>
      </c>
      <c r="E44" s="217" t="s">
        <v>61</v>
      </c>
      <c r="F44" s="406">
        <f>D44+$J$46</f>
        <v>0.52</v>
      </c>
      <c r="G44" s="280" t="str">
        <f>IF(OR(D44=$C$43,AND(D44&lt;$C$43, F44&gt;$C$43)),H44,"")</f>
        <v/>
      </c>
      <c r="H44" s="246">
        <f>H43+J$48</f>
        <v>3</v>
      </c>
      <c r="I44" s="63"/>
      <c r="J44" s="26">
        <v>0.8</v>
      </c>
      <c r="K44" s="459" t="s">
        <v>88</v>
      </c>
      <c r="L44" s="22"/>
      <c r="M44" s="22"/>
      <c r="N44" s="459"/>
      <c r="O44" s="19"/>
      <c r="P44" s="17"/>
    </row>
    <row r="45" spans="1:17">
      <c r="A45" s="53"/>
      <c r="B45" s="51"/>
      <c r="C45" s="61"/>
      <c r="D45" s="405">
        <f t="shared" ref="D45:D48" si="1">F44</f>
        <v>0.52</v>
      </c>
      <c r="E45" s="217" t="s">
        <v>61</v>
      </c>
      <c r="F45" s="406">
        <f t="shared" ref="F45:F47" si="2">D45+$J$46</f>
        <v>0.64</v>
      </c>
      <c r="G45" s="280" t="str">
        <f>IF(OR(D45=$C$43,AND(D45&lt;$C$43, F45&gt;$C$43)),H45,"")</f>
        <v/>
      </c>
      <c r="H45" s="246">
        <f>H44+J$48</f>
        <v>6</v>
      </c>
      <c r="I45" s="63"/>
      <c r="J45" s="21">
        <f>0.5*J44</f>
        <v>0.4</v>
      </c>
      <c r="K45" s="459" t="s">
        <v>89</v>
      </c>
      <c r="L45" s="22"/>
      <c r="M45" s="22"/>
      <c r="N45" s="459"/>
      <c r="O45" s="19"/>
      <c r="P45" s="17"/>
    </row>
    <row r="46" spans="1:17">
      <c r="A46" s="86"/>
      <c r="B46" s="191"/>
      <c r="C46" s="61"/>
      <c r="D46" s="405">
        <f t="shared" si="1"/>
        <v>0.64</v>
      </c>
      <c r="E46" s="217" t="s">
        <v>61</v>
      </c>
      <c r="F46" s="406">
        <f t="shared" si="2"/>
        <v>0.76</v>
      </c>
      <c r="G46" s="280" t="str">
        <f>IF(OR(D46=$C$43,AND(D46&lt;$C$43, F46&gt;$C$43)),H46,"")</f>
        <v/>
      </c>
      <c r="H46" s="246">
        <f>H45+J$48</f>
        <v>9</v>
      </c>
      <c r="I46" s="63"/>
      <c r="J46" s="21">
        <f>(1-J45)/5</f>
        <v>0.12</v>
      </c>
      <c r="K46" s="459" t="s">
        <v>90</v>
      </c>
      <c r="L46" s="22"/>
      <c r="M46" s="22"/>
      <c r="N46" s="459"/>
      <c r="O46" s="19"/>
      <c r="P46" s="17"/>
    </row>
    <row r="47" spans="1:17">
      <c r="A47" s="86"/>
      <c r="B47" s="191"/>
      <c r="C47" s="54"/>
      <c r="D47" s="405">
        <f t="shared" si="1"/>
        <v>0.76</v>
      </c>
      <c r="E47" s="217" t="s">
        <v>61</v>
      </c>
      <c r="F47" s="406">
        <f t="shared" si="2"/>
        <v>0.88</v>
      </c>
      <c r="G47" s="280" t="str">
        <f>IF(OR(D47=$C$43,AND(D47&lt;$C$43, F47&gt;$C$43)),H47,"")</f>
        <v/>
      </c>
      <c r="H47" s="246">
        <f>H46+J$48</f>
        <v>12</v>
      </c>
      <c r="I47" s="63"/>
      <c r="J47" s="23">
        <f>H42</f>
        <v>15</v>
      </c>
      <c r="K47" s="459" t="s">
        <v>68</v>
      </c>
      <c r="L47" s="22"/>
      <c r="M47" s="22"/>
      <c r="N47" s="459"/>
      <c r="O47" s="19"/>
      <c r="P47" s="17"/>
    </row>
    <row r="48" spans="1:17">
      <c r="A48" s="86"/>
      <c r="B48" s="191"/>
      <c r="C48" s="54"/>
      <c r="D48" s="405">
        <f t="shared" si="1"/>
        <v>0.88</v>
      </c>
      <c r="E48" s="217" t="s">
        <v>70</v>
      </c>
      <c r="F48" s="406" t="s">
        <v>71</v>
      </c>
      <c r="G48" s="280" t="str">
        <f>IF(ISBLANK(C43),"",IF(OR(D48=C43,D48&lt;C43),H48,""))</f>
        <v/>
      </c>
      <c r="H48" s="246">
        <f>H47+J$48</f>
        <v>15</v>
      </c>
      <c r="I48" s="63"/>
      <c r="J48" s="24">
        <f>J47/5</f>
        <v>3</v>
      </c>
      <c r="K48" s="459" t="s">
        <v>91</v>
      </c>
      <c r="L48" s="22"/>
      <c r="M48" s="22"/>
      <c r="N48" s="459"/>
      <c r="O48" s="19"/>
      <c r="P48" s="17"/>
    </row>
    <row r="49" spans="1:17">
      <c r="A49" s="86"/>
      <c r="B49" s="191"/>
      <c r="C49" s="289"/>
      <c r="D49" s="407"/>
      <c r="E49" s="50"/>
      <c r="F49" s="408"/>
      <c r="G49" s="90"/>
      <c r="H49" s="183"/>
      <c r="I49" s="63"/>
      <c r="J49" s="24"/>
      <c r="K49" s="459"/>
      <c r="L49" s="22"/>
      <c r="M49" s="22"/>
      <c r="N49" s="459"/>
      <c r="O49" s="19"/>
      <c r="P49" s="17"/>
    </row>
    <row r="50" spans="1:17" s="7" customFormat="1" ht="15.95" customHeight="1">
      <c r="A50" s="42" t="s">
        <v>92</v>
      </c>
      <c r="B50" s="188"/>
      <c r="C50" s="190" t="s">
        <v>51</v>
      </c>
      <c r="D50" s="456">
        <f>SUM(G51:G56)</f>
        <v>0</v>
      </c>
      <c r="E50" s="188"/>
      <c r="F50" s="127"/>
      <c r="G50" s="189" t="s">
        <v>17</v>
      </c>
      <c r="H50" s="204">
        <v>10</v>
      </c>
      <c r="I50" s="336"/>
      <c r="J50" s="459"/>
      <c r="K50" s="459"/>
      <c r="L50" s="459"/>
      <c r="M50" s="459"/>
      <c r="N50" s="459"/>
      <c r="O50" s="19"/>
      <c r="P50" s="17"/>
      <c r="Q50" s="291"/>
    </row>
    <row r="51" spans="1:17" ht="15.75" customHeight="1">
      <c r="A51" s="463" t="s">
        <v>93</v>
      </c>
      <c r="B51" s="463" t="s">
        <v>94</v>
      </c>
      <c r="C51" s="464"/>
      <c r="D51" s="409">
        <v>0</v>
      </c>
      <c r="E51" s="217" t="s">
        <v>55</v>
      </c>
      <c r="F51" s="410">
        <f>J53</f>
        <v>0.13</v>
      </c>
      <c r="G51" s="280" t="str">
        <f>IF(ISBLANK(C51),"",IF(F51&gt;C51,H51,""))</f>
        <v/>
      </c>
      <c r="H51" s="246">
        <v>0</v>
      </c>
      <c r="I51" s="63"/>
      <c r="J51" s="459"/>
      <c r="K51" s="459"/>
      <c r="L51" s="459"/>
      <c r="M51" s="459"/>
      <c r="N51" s="459"/>
      <c r="O51" s="19"/>
      <c r="P51" s="17"/>
    </row>
    <row r="52" spans="1:17" ht="15.75" customHeight="1">
      <c r="A52" s="463"/>
      <c r="B52" s="463"/>
      <c r="C52" s="465"/>
      <c r="D52" s="409">
        <f>F51</f>
        <v>0.13</v>
      </c>
      <c r="E52" s="217" t="s">
        <v>61</v>
      </c>
      <c r="F52" s="410">
        <f>D52+$J$54</f>
        <v>0.30399999999999999</v>
      </c>
      <c r="G52" s="280" t="str">
        <f>IF(OR(D52=$C$51,AND(D52&lt;$C$51, F52&gt;$C$51)),H52,"")</f>
        <v/>
      </c>
      <c r="H52" s="246">
        <f>H51+J$56</f>
        <v>2</v>
      </c>
      <c r="I52" s="63"/>
      <c r="J52" s="26" t="s">
        <v>14</v>
      </c>
      <c r="K52" s="459" t="s">
        <v>14</v>
      </c>
      <c r="L52" s="22"/>
      <c r="M52" s="22"/>
      <c r="N52" s="459"/>
      <c r="O52" s="19"/>
      <c r="P52" s="17"/>
    </row>
    <row r="53" spans="1:17">
      <c r="A53" s="45"/>
      <c r="B53" s="191"/>
      <c r="C53" s="48"/>
      <c r="D53" s="409">
        <f t="shared" ref="D53:D56" si="3">F52</f>
        <v>0.30399999999999999</v>
      </c>
      <c r="E53" s="217" t="s">
        <v>61</v>
      </c>
      <c r="F53" s="410">
        <f>D53+$J$54</f>
        <v>0.47799999999999998</v>
      </c>
      <c r="G53" s="280" t="str">
        <f t="shared" ref="G53:G56" si="4">IF(OR(D53=$C$51,AND(D53&lt;$C$51, F53&gt;$C$51)),H53,"")</f>
        <v/>
      </c>
      <c r="H53" s="246">
        <f>H52+J$56</f>
        <v>4</v>
      </c>
      <c r="I53" s="63"/>
      <c r="J53" s="21">
        <v>0.13</v>
      </c>
      <c r="K53" s="459" t="s">
        <v>62</v>
      </c>
      <c r="L53" s="22"/>
      <c r="M53" s="22"/>
      <c r="N53" s="459"/>
      <c r="O53" s="19"/>
      <c r="P53" s="17"/>
    </row>
    <row r="54" spans="1:17" s="7" customFormat="1" ht="14.1" customHeight="1">
      <c r="A54" s="17"/>
      <c r="B54" s="25" t="s">
        <v>14</v>
      </c>
      <c r="C54" s="48"/>
      <c r="D54" s="409">
        <f t="shared" si="3"/>
        <v>0.47799999999999998</v>
      </c>
      <c r="E54" s="217" t="s">
        <v>61</v>
      </c>
      <c r="F54" s="410">
        <f t="shared" ref="F54:F55" si="5">D54+$J$54</f>
        <v>0.65199999999999991</v>
      </c>
      <c r="G54" s="280" t="str">
        <f t="shared" si="4"/>
        <v/>
      </c>
      <c r="H54" s="246">
        <f>H53+J$56</f>
        <v>6</v>
      </c>
      <c r="I54" s="63"/>
      <c r="J54" s="21">
        <f>(1-J53)/5</f>
        <v>0.17399999999999999</v>
      </c>
      <c r="K54" s="459" t="s">
        <v>90</v>
      </c>
      <c r="L54" s="22"/>
      <c r="M54" s="22"/>
      <c r="N54" s="459"/>
      <c r="O54" s="19"/>
      <c r="P54" s="17"/>
      <c r="Q54" s="291"/>
    </row>
    <row r="55" spans="1:17" s="7" customFormat="1" ht="14.85" customHeight="1">
      <c r="A55" s="86"/>
      <c r="B55" s="44" t="s">
        <v>14</v>
      </c>
      <c r="C55" s="47" t="s">
        <v>14</v>
      </c>
      <c r="D55" s="409">
        <f t="shared" si="3"/>
        <v>0.65199999999999991</v>
      </c>
      <c r="E55" s="217" t="s">
        <v>61</v>
      </c>
      <c r="F55" s="410">
        <f t="shared" si="5"/>
        <v>0.82599999999999985</v>
      </c>
      <c r="G55" s="280" t="str">
        <f t="shared" si="4"/>
        <v/>
      </c>
      <c r="H55" s="246">
        <f>ROUNDDOWN(H54+J$56,0)</f>
        <v>8</v>
      </c>
      <c r="I55" s="63"/>
      <c r="J55" s="23">
        <f>H50</f>
        <v>10</v>
      </c>
      <c r="K55" s="459" t="s">
        <v>68</v>
      </c>
      <c r="L55" s="22"/>
      <c r="M55" s="22"/>
      <c r="N55" s="459"/>
      <c r="O55" s="19"/>
      <c r="P55" s="17"/>
      <c r="Q55" s="291"/>
    </row>
    <row r="56" spans="1:17">
      <c r="A56" s="86"/>
      <c r="B56" s="44" t="s">
        <v>14</v>
      </c>
      <c r="C56" s="46" t="s">
        <v>14</v>
      </c>
      <c r="D56" s="409">
        <f t="shared" si="3"/>
        <v>0.82599999999999985</v>
      </c>
      <c r="E56" s="217" t="s">
        <v>70</v>
      </c>
      <c r="F56" s="406" t="s">
        <v>71</v>
      </c>
      <c r="G56" s="280" t="str">
        <f t="shared" si="4"/>
        <v/>
      </c>
      <c r="H56" s="246">
        <f>ROUNDDOWN(H55+J$56,0)</f>
        <v>10</v>
      </c>
      <c r="I56" s="63"/>
      <c r="J56" s="24">
        <f>H50/5</f>
        <v>2</v>
      </c>
      <c r="K56" s="459" t="s">
        <v>91</v>
      </c>
      <c r="L56" s="22"/>
      <c r="M56" s="22"/>
      <c r="N56" s="459"/>
      <c r="O56" s="19"/>
      <c r="P56" s="17"/>
    </row>
    <row r="57" spans="1:17" ht="12.95" customHeight="1">
      <c r="A57" s="53"/>
      <c r="B57" s="84"/>
      <c r="C57" s="61"/>
      <c r="D57" s="61"/>
      <c r="E57" s="61"/>
      <c r="F57" s="61"/>
      <c r="G57" s="43"/>
      <c r="H57" s="182"/>
      <c r="I57" s="61"/>
      <c r="J57" s="19"/>
      <c r="K57" s="19"/>
      <c r="L57" s="19"/>
      <c r="M57" s="19"/>
      <c r="N57" s="19"/>
      <c r="O57" s="19"/>
      <c r="P57" s="17"/>
    </row>
    <row r="58" spans="1:17" s="7" customFormat="1" ht="15" customHeight="1">
      <c r="A58" s="42" t="s">
        <v>95</v>
      </c>
      <c r="B58" s="188"/>
      <c r="C58" s="190" t="s">
        <v>51</v>
      </c>
      <c r="D58" s="456">
        <f>SUM(G59:G64)</f>
        <v>0</v>
      </c>
      <c r="E58" s="188"/>
      <c r="F58" s="127"/>
      <c r="G58" s="189" t="s">
        <v>17</v>
      </c>
      <c r="H58" s="204">
        <v>10</v>
      </c>
      <c r="I58" s="72"/>
      <c r="J58" s="459"/>
      <c r="K58" s="459"/>
      <c r="L58" s="459"/>
      <c r="M58" s="459"/>
      <c r="N58" s="459"/>
      <c r="O58" s="19"/>
      <c r="P58" s="17"/>
      <c r="Q58" s="291"/>
    </row>
    <row r="59" spans="1:17" ht="13.35" customHeight="1">
      <c r="A59" s="153" t="s">
        <v>96</v>
      </c>
      <c r="B59" s="154" t="s">
        <v>97</v>
      </c>
      <c r="C59" s="277"/>
      <c r="D59" s="409">
        <v>0</v>
      </c>
      <c r="E59" s="217" t="s">
        <v>98</v>
      </c>
      <c r="F59" s="410">
        <f>J61</f>
        <v>0.2</v>
      </c>
      <c r="G59" s="141" t="str">
        <f>IF(F59&gt;C63,H59,"")</f>
        <v/>
      </c>
      <c r="H59" s="246">
        <v>0</v>
      </c>
      <c r="I59" s="30"/>
      <c r="J59" s="459"/>
      <c r="K59" s="459"/>
      <c r="L59" s="459"/>
      <c r="M59" s="459"/>
      <c r="N59" s="459"/>
      <c r="O59" s="19"/>
      <c r="P59" s="17"/>
      <c r="Q59" s="304" t="s">
        <v>99</v>
      </c>
    </row>
    <row r="60" spans="1:17">
      <c r="A60" s="460" t="s">
        <v>100</v>
      </c>
      <c r="B60" s="153" t="s">
        <v>101</v>
      </c>
      <c r="C60" s="277"/>
      <c r="D60" s="409">
        <f>F59</f>
        <v>0.2</v>
      </c>
      <c r="E60" s="217" t="s">
        <v>61</v>
      </c>
      <c r="F60" s="410">
        <f>D60+$J$62</f>
        <v>0.36</v>
      </c>
      <c r="G60" s="141" t="str">
        <f>IF(OR(D60=$C$63,AND(D60&lt;$C$63, F60&gt;$C$63)),H60,"")</f>
        <v/>
      </c>
      <c r="H60" s="246">
        <f>J$64+H59</f>
        <v>2</v>
      </c>
      <c r="I60" s="63"/>
      <c r="J60" s="26">
        <v>0.4</v>
      </c>
      <c r="K60" s="459" t="s">
        <v>102</v>
      </c>
      <c r="L60" s="22"/>
      <c r="M60" s="22"/>
      <c r="N60" s="459"/>
      <c r="O60" s="19"/>
      <c r="P60" s="17"/>
      <c r="Q60" s="304"/>
    </row>
    <row r="61" spans="1:17" ht="13.35" customHeight="1">
      <c r="A61" s="460" t="s">
        <v>103</v>
      </c>
      <c r="B61" s="210" t="s">
        <v>77</v>
      </c>
      <c r="C61" s="10" t="str">
        <f>IF(ISBLANK(C60),"",SUM(C59:C60))</f>
        <v/>
      </c>
      <c r="D61" s="409">
        <f>F60</f>
        <v>0.36</v>
      </c>
      <c r="E61" s="217" t="s">
        <v>61</v>
      </c>
      <c r="F61" s="410">
        <f t="shared" ref="F61:F63" si="6">D61+$J$62</f>
        <v>0.52</v>
      </c>
      <c r="G61" s="141" t="str">
        <f t="shared" ref="G61:G62" si="7">IF(OR(D61=$C$63,AND(D61&lt;$C$63, F61&gt;$C$63)),H61,"")</f>
        <v/>
      </c>
      <c r="H61" s="246">
        <f>J$64+H60</f>
        <v>4</v>
      </c>
      <c r="I61" s="63"/>
      <c r="J61" s="21">
        <f>0.5*J60</f>
        <v>0.2</v>
      </c>
      <c r="K61" s="459" t="s">
        <v>89</v>
      </c>
      <c r="L61" s="22"/>
      <c r="M61" s="22"/>
      <c r="N61" s="459"/>
      <c r="O61" s="19"/>
      <c r="P61" s="17"/>
      <c r="Q61" s="304"/>
    </row>
    <row r="62" spans="1:17">
      <c r="A62" s="209" t="s">
        <v>104</v>
      </c>
      <c r="B62" s="153" t="s">
        <v>105</v>
      </c>
      <c r="C62" s="11">
        <f>H5</f>
        <v>0</v>
      </c>
      <c r="D62" s="409">
        <f t="shared" ref="D62:D63" si="8">F61</f>
        <v>0.52</v>
      </c>
      <c r="E62" s="217" t="s">
        <v>61</v>
      </c>
      <c r="F62" s="410">
        <f t="shared" si="6"/>
        <v>0.68</v>
      </c>
      <c r="G62" s="141" t="str">
        <f t="shared" si="7"/>
        <v/>
      </c>
      <c r="H62" s="246">
        <f>J$64+H61</f>
        <v>6</v>
      </c>
      <c r="I62" s="63"/>
      <c r="J62" s="21">
        <f>(1-J61)/5</f>
        <v>0.16</v>
      </c>
      <c r="K62" s="459" t="s">
        <v>90</v>
      </c>
      <c r="L62" s="22"/>
      <c r="M62" s="22"/>
      <c r="N62" s="459"/>
      <c r="O62" s="19"/>
      <c r="P62" s="17"/>
      <c r="Q62" s="304"/>
    </row>
    <row r="63" spans="1:17" ht="14.1" customHeight="1">
      <c r="A63" s="209" t="s">
        <v>106</v>
      </c>
      <c r="B63" s="210" t="s">
        <v>77</v>
      </c>
      <c r="C63" s="250" t="str">
        <f>IF(OR(COUNT(C61)=0,COUNT(C62)=0),"",C61/C62)</f>
        <v/>
      </c>
      <c r="D63" s="409">
        <f t="shared" si="8"/>
        <v>0.68</v>
      </c>
      <c r="E63" s="217" t="s">
        <v>61</v>
      </c>
      <c r="F63" s="410">
        <f t="shared" si="6"/>
        <v>0.84000000000000008</v>
      </c>
      <c r="G63" s="141" t="str">
        <f>IF(OR(D63=$C$63,AND(D63&lt;$C$63, F63&gt;$C$63)),H63,"")</f>
        <v/>
      </c>
      <c r="H63" s="246">
        <f>J$64+H62</f>
        <v>8</v>
      </c>
      <c r="I63" s="63"/>
      <c r="J63" s="23">
        <f>H58</f>
        <v>10</v>
      </c>
      <c r="K63" s="459" t="s">
        <v>68</v>
      </c>
      <c r="L63" s="22"/>
      <c r="M63" s="22"/>
      <c r="N63" s="459"/>
      <c r="O63" s="19"/>
      <c r="P63" s="17"/>
      <c r="Q63" s="304"/>
    </row>
    <row r="64" spans="1:17" ht="14.1" customHeight="1">
      <c r="A64" s="147"/>
      <c r="B64" s="147"/>
      <c r="C64" s="248"/>
      <c r="D64" s="409">
        <f>F63</f>
        <v>0.84000000000000008</v>
      </c>
      <c r="E64" s="217" t="s">
        <v>70</v>
      </c>
      <c r="F64" s="406" t="s">
        <v>71</v>
      </c>
      <c r="G64" s="141" t="str">
        <f>IF(C63="","",IF(OR(D64=$C$63,D64&lt;$C$63),H64,""))</f>
        <v/>
      </c>
      <c r="H64" s="246">
        <f>J$64+H63</f>
        <v>10</v>
      </c>
      <c r="I64" s="63"/>
      <c r="J64" s="23">
        <f>J63/5</f>
        <v>2</v>
      </c>
      <c r="K64" s="459" t="s">
        <v>91</v>
      </c>
      <c r="L64" s="22"/>
      <c r="M64" s="22"/>
      <c r="N64" s="459"/>
      <c r="O64" s="19"/>
      <c r="P64" s="17"/>
      <c r="Q64" s="304"/>
    </row>
    <row r="65" spans="1:19" ht="14.1" customHeight="1">
      <c r="A65" s="147"/>
      <c r="B65" s="147"/>
      <c r="C65" s="248"/>
      <c r="D65" s="247"/>
      <c r="E65" s="217"/>
      <c r="F65" s="218"/>
      <c r="G65" s="163"/>
      <c r="H65" s="249"/>
      <c r="I65" s="63"/>
      <c r="J65" s="23"/>
      <c r="K65" s="459"/>
      <c r="L65" s="22"/>
      <c r="M65" s="22"/>
      <c r="N65" s="459"/>
      <c r="O65" s="19"/>
      <c r="P65" s="17"/>
    </row>
    <row r="66" spans="1:19" ht="14.1" customHeight="1">
      <c r="A66" s="42" t="s">
        <v>107</v>
      </c>
      <c r="B66" s="188"/>
      <c r="C66" s="190" t="s">
        <v>51</v>
      </c>
      <c r="D66" s="456">
        <f>SUM(G67:G72)</f>
        <v>0</v>
      </c>
      <c r="E66" s="188"/>
      <c r="F66" s="127"/>
      <c r="G66" s="189" t="s">
        <v>17</v>
      </c>
      <c r="H66" s="204">
        <v>5</v>
      </c>
      <c r="I66" s="63"/>
      <c r="J66" s="23"/>
      <c r="K66" s="459"/>
      <c r="L66" s="22"/>
      <c r="M66" s="22"/>
      <c r="N66" s="459"/>
      <c r="O66" s="19"/>
      <c r="P66" s="17"/>
    </row>
    <row r="67" spans="1:19" ht="35.25" customHeight="1">
      <c r="A67" s="461" t="s">
        <v>108</v>
      </c>
      <c r="B67" s="453" t="s">
        <v>109</v>
      </c>
      <c r="C67" s="315"/>
      <c r="D67" s="405">
        <v>0</v>
      </c>
      <c r="E67" s="217" t="s">
        <v>110</v>
      </c>
      <c r="F67" s="406">
        <f>J69</f>
        <v>0.16</v>
      </c>
      <c r="G67" s="280" t="str">
        <f>IF(F67&gt;C69,H67,"")</f>
        <v/>
      </c>
      <c r="H67" s="316">
        <v>0</v>
      </c>
      <c r="I67" s="63"/>
      <c r="J67" s="199">
        <v>0.4</v>
      </c>
      <c r="K67" s="459" t="s">
        <v>102</v>
      </c>
      <c r="L67" s="22"/>
      <c r="M67" s="22"/>
      <c r="N67" s="459"/>
      <c r="O67" s="19"/>
      <c r="P67" s="17"/>
      <c r="Q67" s="1" t="s">
        <v>111</v>
      </c>
    </row>
    <row r="68" spans="1:19" ht="14.1" customHeight="1">
      <c r="A68" s="462" t="s">
        <v>112</v>
      </c>
      <c r="B68" s="462" t="s">
        <v>113</v>
      </c>
      <c r="C68" s="317">
        <f>H5</f>
        <v>0</v>
      </c>
      <c r="D68" s="405">
        <f>F67</f>
        <v>0.16</v>
      </c>
      <c r="E68" s="217" t="s">
        <v>61</v>
      </c>
      <c r="F68" s="406">
        <f>D68+$J$62</f>
        <v>0.32</v>
      </c>
      <c r="G68" s="280" t="str">
        <f>IF(OR(D68=$C$69,AND(D68&lt;$C$69, F68&gt;$C$69)),H68,"")</f>
        <v/>
      </c>
      <c r="H68" s="316">
        <f>J$71+H67</f>
        <v>1</v>
      </c>
      <c r="I68" s="63"/>
      <c r="J68" s="21">
        <f>0.5*J67</f>
        <v>0.2</v>
      </c>
      <c r="K68" s="459" t="s">
        <v>89</v>
      </c>
      <c r="L68" s="22"/>
      <c r="M68" s="22"/>
      <c r="N68" s="459"/>
      <c r="O68" s="19"/>
      <c r="P68" s="17"/>
    </row>
    <row r="69" spans="1:19" ht="14.1" customHeight="1">
      <c r="A69" s="462" t="s">
        <v>114</v>
      </c>
      <c r="B69" s="193" t="s">
        <v>77</v>
      </c>
      <c r="C69" s="318" t="str">
        <f>IF(OR(COUNT(C67)=0,COUNT(C68)=0),"",C67/C68)</f>
        <v/>
      </c>
      <c r="D69" s="405">
        <f>F68</f>
        <v>0.32</v>
      </c>
      <c r="E69" s="217" t="s">
        <v>61</v>
      </c>
      <c r="F69" s="406">
        <f t="shared" ref="F69:F71" si="9">D69+$J$62</f>
        <v>0.48</v>
      </c>
      <c r="G69" s="280" t="str">
        <f t="shared" ref="G69:G71" si="10">IF(OR(D69=$C$69,AND(D69&lt;$C$69, F69&gt;$C$69)),H69,"")</f>
        <v/>
      </c>
      <c r="H69" s="316">
        <f>J$71+H68</f>
        <v>2</v>
      </c>
      <c r="I69" s="63"/>
      <c r="J69" s="21">
        <f>(1-J68)/5</f>
        <v>0.16</v>
      </c>
      <c r="K69" s="459" t="s">
        <v>90</v>
      </c>
      <c r="L69" s="22"/>
      <c r="M69" s="22"/>
      <c r="N69" s="459"/>
      <c r="O69" s="19"/>
      <c r="P69" s="17"/>
    </row>
    <row r="70" spans="1:19" ht="14.1" customHeight="1">
      <c r="A70" s="147"/>
      <c r="B70" s="44"/>
      <c r="C70" s="46"/>
      <c r="D70" s="405">
        <f t="shared" ref="D70:D71" si="11">F69</f>
        <v>0.48</v>
      </c>
      <c r="E70" s="217" t="s">
        <v>61</v>
      </c>
      <c r="F70" s="406">
        <f t="shared" si="9"/>
        <v>0.64</v>
      </c>
      <c r="G70" s="280" t="str">
        <f t="shared" si="10"/>
        <v/>
      </c>
      <c r="H70" s="316">
        <f>J$71+H69</f>
        <v>3</v>
      </c>
      <c r="I70" s="63"/>
      <c r="J70" s="23">
        <f>H66</f>
        <v>5</v>
      </c>
      <c r="K70" s="459" t="s">
        <v>68</v>
      </c>
      <c r="L70" s="22"/>
      <c r="M70" s="22"/>
      <c r="N70" s="459"/>
      <c r="O70" s="19"/>
      <c r="P70" s="17"/>
    </row>
    <row r="71" spans="1:19" ht="14.1" customHeight="1">
      <c r="A71" s="147"/>
      <c r="B71" s="44"/>
      <c r="C71" s="46"/>
      <c r="D71" s="405">
        <f t="shared" si="11"/>
        <v>0.64</v>
      </c>
      <c r="E71" s="217" t="s">
        <v>61</v>
      </c>
      <c r="F71" s="406">
        <f t="shared" si="9"/>
        <v>0.8</v>
      </c>
      <c r="G71" s="280" t="str">
        <f t="shared" si="10"/>
        <v/>
      </c>
      <c r="H71" s="316">
        <f>J$71+H70</f>
        <v>4</v>
      </c>
      <c r="I71" s="63"/>
      <c r="J71" s="23">
        <f>J70/5</f>
        <v>1</v>
      </c>
      <c r="K71" s="459" t="s">
        <v>91</v>
      </c>
      <c r="L71" s="22"/>
      <c r="M71" s="22"/>
      <c r="N71" s="459"/>
      <c r="O71" s="19"/>
      <c r="P71" s="17"/>
    </row>
    <row r="72" spans="1:19" ht="14.1" customHeight="1">
      <c r="A72" s="147"/>
      <c r="B72" s="44"/>
      <c r="C72" s="46"/>
      <c r="D72" s="405">
        <f>F71</f>
        <v>0.8</v>
      </c>
      <c r="E72" s="217" t="s">
        <v>70</v>
      </c>
      <c r="F72" s="406" t="s">
        <v>71</v>
      </c>
      <c r="G72" s="280" t="str">
        <f>IF(C69="","",IF(OR(D72=$C$69,D72&lt;$C$69),H72,""))</f>
        <v/>
      </c>
      <c r="H72" s="316">
        <f>J$71+H71</f>
        <v>5</v>
      </c>
      <c r="I72" s="63"/>
      <c r="J72" s="63"/>
      <c r="K72" s="459"/>
      <c r="L72" s="22"/>
      <c r="M72" s="22"/>
      <c r="N72" s="459"/>
      <c r="O72" s="19"/>
      <c r="P72" s="17"/>
    </row>
    <row r="73" spans="1:19" ht="14.1" customHeight="1">
      <c r="A73" s="147"/>
      <c r="B73" s="44"/>
      <c r="C73" s="132"/>
      <c r="D73" s="247"/>
      <c r="E73" s="217"/>
      <c r="F73" s="218"/>
      <c r="G73" s="163"/>
      <c r="H73" s="249"/>
      <c r="I73" s="63"/>
      <c r="J73" s="23"/>
      <c r="K73" s="459"/>
      <c r="L73" s="22"/>
      <c r="M73" s="22"/>
      <c r="N73" s="459"/>
      <c r="O73" s="19"/>
      <c r="P73" s="17"/>
    </row>
    <row r="74" spans="1:19" ht="24.75" customHeight="1">
      <c r="A74" s="42" t="s">
        <v>115</v>
      </c>
      <c r="B74" s="188"/>
      <c r="C74" s="190" t="s">
        <v>51</v>
      </c>
      <c r="D74" s="456">
        <f>SUM(G75:G79)</f>
        <v>0</v>
      </c>
      <c r="E74" s="188"/>
      <c r="F74" s="127"/>
      <c r="G74" s="189" t="s">
        <v>17</v>
      </c>
      <c r="H74" s="444">
        <v>5</v>
      </c>
      <c r="I74" s="63"/>
      <c r="J74" s="23"/>
      <c r="K74" s="459"/>
      <c r="L74" s="22"/>
      <c r="M74" s="22"/>
      <c r="N74" s="459"/>
      <c r="O74" s="19"/>
      <c r="P74" s="17"/>
      <c r="Q74" s="1" t="s">
        <v>116</v>
      </c>
      <c r="S74" s="125"/>
    </row>
    <row r="75" spans="1:19" s="17" customFormat="1" ht="38.25" customHeight="1">
      <c r="A75" s="453" t="s">
        <v>117</v>
      </c>
      <c r="B75" s="458" t="s">
        <v>118</v>
      </c>
      <c r="C75" s="341">
        <f>J75</f>
        <v>143</v>
      </c>
      <c r="D75" s="405">
        <v>0</v>
      </c>
      <c r="E75" s="217" t="s">
        <v>110</v>
      </c>
      <c r="F75" s="406">
        <f>J76</f>
        <v>0.4</v>
      </c>
      <c r="G75" s="425" t="str">
        <f>IF(ISBLANK(C76),"",IF(F75&gt;C77,H75,""))</f>
        <v/>
      </c>
      <c r="H75" s="426">
        <f>J78</f>
        <v>5</v>
      </c>
      <c r="I75" s="63"/>
      <c r="J75" s="23">
        <v>143</v>
      </c>
      <c r="K75" s="134" t="s">
        <v>119</v>
      </c>
      <c r="L75" s="22"/>
      <c r="M75" s="273"/>
      <c r="N75" s="92"/>
      <c r="O75" s="92"/>
      <c r="P75" s="92"/>
      <c r="Q75" s="427"/>
      <c r="R75" s="64" t="s">
        <v>14</v>
      </c>
      <c r="S75" s="84" t="s">
        <v>14</v>
      </c>
    </row>
    <row r="76" spans="1:19" s="17" customFormat="1" ht="26.25" customHeight="1">
      <c r="A76" s="461" t="s">
        <v>120</v>
      </c>
      <c r="B76" s="447" t="s">
        <v>121</v>
      </c>
      <c r="C76" s="315"/>
      <c r="D76" s="405">
        <f>F75</f>
        <v>0.4</v>
      </c>
      <c r="E76" s="217" t="s">
        <v>61</v>
      </c>
      <c r="F76" s="406">
        <f>D76+J$77</f>
        <v>0.5</v>
      </c>
      <c r="G76" s="425" t="str">
        <f>IF(OR(D76=$C$77,AND(D76&lt;$C$77, F76&gt;$C$77)),H76,"")</f>
        <v/>
      </c>
      <c r="H76" s="426">
        <f>H75-J79</f>
        <v>4</v>
      </c>
      <c r="I76" s="63"/>
      <c r="J76" s="21">
        <v>0.4</v>
      </c>
      <c r="K76" s="134" t="s">
        <v>122</v>
      </c>
      <c r="L76" s="22"/>
      <c r="M76" s="147"/>
      <c r="N76" s="131"/>
      <c r="O76" s="95"/>
      <c r="P76" s="166"/>
      <c r="Q76" s="428"/>
      <c r="R76" s="23"/>
    </row>
    <row r="77" spans="1:19" s="17" customFormat="1" ht="21.75" customHeight="1">
      <c r="A77" s="433" t="s">
        <v>123</v>
      </c>
      <c r="B77" s="237" t="s">
        <v>77</v>
      </c>
      <c r="C77" s="269" t="str">
        <f>IF(ISBLANK(C76),"",(C76/C75))</f>
        <v/>
      </c>
      <c r="D77" s="405">
        <f>F76</f>
        <v>0.5</v>
      </c>
      <c r="E77" s="217" t="s">
        <v>58</v>
      </c>
      <c r="F77" s="406">
        <f>D77+J77</f>
        <v>0.6</v>
      </c>
      <c r="G77" s="425" t="str">
        <f t="shared" ref="G77:G79" si="12">IF(OR(D77=$C$77,AND(D77&lt;$C$77, F77&gt;$C$77)),H77,"")</f>
        <v/>
      </c>
      <c r="H77" s="426">
        <f>H76-J79</f>
        <v>3</v>
      </c>
      <c r="I77" s="63"/>
      <c r="J77" s="21">
        <v>0.1</v>
      </c>
      <c r="K77" s="134" t="s">
        <v>124</v>
      </c>
      <c r="L77" s="22"/>
      <c r="M77" s="191"/>
      <c r="N77" s="131"/>
      <c r="O77" s="95"/>
      <c r="P77" s="166"/>
      <c r="Q77" s="428"/>
      <c r="R77" s="23"/>
    </row>
    <row r="78" spans="1:19" s="17" customFormat="1" ht="30" customHeight="1">
      <c r="A78" s="434" t="s">
        <v>125</v>
      </c>
      <c r="B78" s="454"/>
      <c r="C78" s="251"/>
      <c r="D78" s="405">
        <f>F77</f>
        <v>0.6</v>
      </c>
      <c r="E78" s="217" t="s">
        <v>58</v>
      </c>
      <c r="F78" s="406">
        <f>D78+J77</f>
        <v>0.7</v>
      </c>
      <c r="G78" s="425" t="str">
        <f t="shared" si="12"/>
        <v/>
      </c>
      <c r="H78" s="426">
        <f>H77-J79</f>
        <v>2</v>
      </c>
      <c r="I78" s="337"/>
      <c r="J78" s="23">
        <f>H74</f>
        <v>5</v>
      </c>
      <c r="K78" s="459" t="s">
        <v>68</v>
      </c>
      <c r="L78" s="22"/>
      <c r="M78" s="191"/>
      <c r="N78" s="131"/>
      <c r="O78" s="95"/>
      <c r="P78" s="166"/>
      <c r="Q78" s="428"/>
      <c r="R78" s="23"/>
    </row>
    <row r="79" spans="1:19" s="17" customFormat="1" ht="43.5" customHeight="1">
      <c r="A79" s="72"/>
      <c r="B79" s="454"/>
      <c r="C79" s="251"/>
      <c r="D79" s="405">
        <f>F78</f>
        <v>0.7</v>
      </c>
      <c r="E79" s="217" t="s">
        <v>61</v>
      </c>
      <c r="F79" s="406">
        <f>D79+J77</f>
        <v>0.79999999999999993</v>
      </c>
      <c r="G79" s="425" t="str">
        <f t="shared" si="12"/>
        <v/>
      </c>
      <c r="H79" s="426">
        <f>H78-J$79</f>
        <v>1</v>
      </c>
      <c r="I79" s="63"/>
      <c r="J79" s="432">
        <f>1</f>
        <v>1</v>
      </c>
      <c r="K79" s="459" t="s">
        <v>91</v>
      </c>
      <c r="L79" s="22"/>
      <c r="M79" s="191"/>
      <c r="N79" s="131"/>
      <c r="O79" s="95"/>
      <c r="P79" s="166"/>
      <c r="Q79" s="428"/>
      <c r="R79" s="23"/>
    </row>
    <row r="80" spans="1:19" s="17" customFormat="1" ht="23.25" customHeight="1">
      <c r="A80" s="72"/>
      <c r="B80" s="454"/>
      <c r="C80" s="251"/>
      <c r="D80" s="405">
        <v>0.8</v>
      </c>
      <c r="E80" s="217" t="s">
        <v>70</v>
      </c>
      <c r="F80" s="406" t="s">
        <v>71</v>
      </c>
      <c r="G80" s="425" t="str">
        <f>IF(C77="","",IF(OR(D80=$C$77,D80&lt;$C$77),H80,""))</f>
        <v/>
      </c>
      <c r="H80" s="438">
        <v>0</v>
      </c>
      <c r="I80" s="63"/>
      <c r="J80" s="23"/>
      <c r="K80" s="459"/>
      <c r="L80" s="22"/>
      <c r="M80" s="191"/>
      <c r="N80" s="131"/>
      <c r="O80" s="95"/>
      <c r="P80" s="166"/>
      <c r="Q80" s="428"/>
      <c r="R80" s="23"/>
    </row>
    <row r="81" spans="1:18" ht="24.75" customHeight="1">
      <c r="A81" s="42" t="s">
        <v>126</v>
      </c>
      <c r="B81" s="188"/>
      <c r="C81" s="190" t="s">
        <v>51</v>
      </c>
      <c r="D81" s="439">
        <f>SUM(G82:G84)</f>
        <v>0</v>
      </c>
      <c r="E81" s="440"/>
      <c r="F81" s="441"/>
      <c r="G81" s="442" t="s">
        <v>17</v>
      </c>
      <c r="H81" s="443">
        <v>4</v>
      </c>
      <c r="I81" s="63"/>
      <c r="J81" s="23"/>
      <c r="K81" s="459"/>
      <c r="L81" s="22"/>
      <c r="M81" s="22"/>
      <c r="N81" s="459"/>
      <c r="O81" s="19"/>
      <c r="P81" s="17"/>
      <c r="Q81" s="1"/>
      <c r="R81" s="125" t="s">
        <v>14</v>
      </c>
    </row>
    <row r="82" spans="1:18" s="17" customFormat="1" ht="33.75" customHeight="1">
      <c r="A82" s="453" t="s">
        <v>127</v>
      </c>
      <c r="B82" s="461" t="s">
        <v>128</v>
      </c>
      <c r="C82" s="445"/>
      <c r="D82" s="405">
        <v>0</v>
      </c>
      <c r="E82" s="217" t="s">
        <v>110</v>
      </c>
      <c r="F82" s="406">
        <f>J83</f>
        <v>0.25</v>
      </c>
      <c r="G82" s="425" t="str">
        <f>IF(COUNT(C84)=0,"",IF(F82&gt;C84,H82,""))</f>
        <v/>
      </c>
      <c r="H82" s="426">
        <v>0</v>
      </c>
      <c r="I82" s="63"/>
      <c r="J82" s="23"/>
      <c r="K82" s="459"/>
      <c r="L82" s="22"/>
      <c r="M82" s="191"/>
      <c r="N82" s="131"/>
      <c r="O82" s="95"/>
      <c r="P82" s="166"/>
      <c r="Q82" s="428"/>
      <c r="R82" s="23"/>
    </row>
    <row r="83" spans="1:18" s="17" customFormat="1" ht="21.75" customHeight="1">
      <c r="A83" s="461" t="s">
        <v>129</v>
      </c>
      <c r="B83" s="462" t="s">
        <v>130</v>
      </c>
      <c r="C83" s="317">
        <f>H5</f>
        <v>0</v>
      </c>
      <c r="D83" s="405">
        <f>F82</f>
        <v>0.25</v>
      </c>
      <c r="E83" s="217" t="s">
        <v>61</v>
      </c>
      <c r="F83" s="406">
        <f>D83+J$84</f>
        <v>0.5</v>
      </c>
      <c r="G83" s="425" t="str">
        <f>IF(OR(D83=$C$84,AND(D83&lt;$C$84, F83&gt;$C$84)),H83,"")</f>
        <v/>
      </c>
      <c r="H83" s="426">
        <v>1</v>
      </c>
      <c r="I83" s="63"/>
      <c r="J83" s="431">
        <v>0.25</v>
      </c>
      <c r="K83" s="134" t="s">
        <v>131</v>
      </c>
      <c r="L83" s="22"/>
      <c r="M83" s="191"/>
      <c r="N83" s="131"/>
      <c r="O83" s="95"/>
      <c r="P83" s="166"/>
      <c r="Q83" s="428"/>
      <c r="R83" s="23"/>
    </row>
    <row r="84" spans="1:18" ht="29.25" customHeight="1">
      <c r="A84" s="461" t="s">
        <v>132</v>
      </c>
      <c r="B84" s="237" t="s">
        <v>77</v>
      </c>
      <c r="C84" s="318" t="str">
        <f>IF(COUNT(H5)=0,"",C82/C83)</f>
        <v/>
      </c>
      <c r="D84" s="405">
        <f>F83</f>
        <v>0.5</v>
      </c>
      <c r="E84" s="217" t="s">
        <v>58</v>
      </c>
      <c r="F84" s="406">
        <f>D84+J84</f>
        <v>0.75</v>
      </c>
      <c r="G84" s="425" t="str">
        <f>IF(OR(D84=$C$84,AND(D84&lt;$C$84, F84&gt;$C$84)),H84,"")</f>
        <v/>
      </c>
      <c r="H84" s="426">
        <v>2</v>
      </c>
      <c r="I84" s="63"/>
      <c r="J84" s="26">
        <v>0.25</v>
      </c>
      <c r="K84" s="134" t="s">
        <v>133</v>
      </c>
      <c r="L84" s="22"/>
      <c r="M84" s="22"/>
      <c r="N84" s="459"/>
      <c r="O84" s="19"/>
      <c r="P84" s="17"/>
    </row>
    <row r="85" spans="1:18" ht="29.25" customHeight="1">
      <c r="A85" s="219"/>
      <c r="B85" s="429"/>
      <c r="C85" s="430"/>
      <c r="D85" s="405">
        <f>F84</f>
        <v>0.75</v>
      </c>
      <c r="E85" s="217" t="s">
        <v>58</v>
      </c>
      <c r="F85" s="406">
        <f>D85+J84</f>
        <v>1</v>
      </c>
      <c r="G85" s="425" t="str">
        <f>IF(OR(D85=$C$84,AND(D85&lt;$C$84, F85&gt;$C$84)),H85,"")</f>
        <v/>
      </c>
      <c r="H85" s="426">
        <v>4</v>
      </c>
      <c r="I85" s="63"/>
      <c r="J85" s="26"/>
      <c r="K85" s="134"/>
      <c r="L85" s="22"/>
      <c r="M85" s="22"/>
      <c r="N85" s="459"/>
      <c r="O85" s="19"/>
      <c r="P85" s="17"/>
    </row>
    <row r="86" spans="1:18" ht="14.1" customHeight="1">
      <c r="A86" s="219"/>
      <c r="B86" s="429"/>
      <c r="C86" s="430"/>
      <c r="D86" s="131"/>
      <c r="F86" s="166"/>
      <c r="G86" s="97"/>
      <c r="H86" s="178"/>
      <c r="I86" s="63"/>
      <c r="J86" s="23"/>
      <c r="K86" s="459"/>
      <c r="L86" s="22"/>
      <c r="M86" s="22"/>
      <c r="N86" s="459"/>
      <c r="O86" s="19"/>
      <c r="P86" s="17"/>
    </row>
    <row r="87" spans="1:18" ht="14.1" customHeight="1">
      <c r="A87" s="42" t="s">
        <v>134</v>
      </c>
      <c r="B87" s="188"/>
      <c r="C87" s="190" t="s">
        <v>51</v>
      </c>
      <c r="D87" s="456">
        <f>SUM(G88:G91)</f>
        <v>0</v>
      </c>
      <c r="E87" s="188"/>
      <c r="F87" s="127"/>
      <c r="G87" s="189" t="s">
        <v>17</v>
      </c>
      <c r="H87" s="204">
        <v>3</v>
      </c>
      <c r="I87" s="63"/>
      <c r="J87" s="63"/>
      <c r="K87" s="459"/>
      <c r="L87" s="22"/>
      <c r="M87" s="22"/>
      <c r="N87" s="459"/>
      <c r="O87" s="19"/>
      <c r="P87" s="17"/>
    </row>
    <row r="88" spans="1:18" ht="14.1" customHeight="1">
      <c r="A88" s="460" t="s">
        <v>135</v>
      </c>
      <c r="B88" s="460" t="s">
        <v>136</v>
      </c>
      <c r="C88" s="319"/>
      <c r="D88" s="409">
        <v>0</v>
      </c>
      <c r="E88" s="217" t="s">
        <v>70</v>
      </c>
      <c r="F88" s="410" t="s">
        <v>137</v>
      </c>
      <c r="G88" s="280" t="str">
        <f>IF(C90&lt;0,H88,"")</f>
        <v/>
      </c>
      <c r="H88" s="246">
        <v>0</v>
      </c>
      <c r="I88" s="63"/>
      <c r="J88" s="23">
        <v>0</v>
      </c>
      <c r="K88" s="134" t="s">
        <v>138</v>
      </c>
      <c r="L88" s="22"/>
      <c r="M88" s="22"/>
      <c r="N88" s="459"/>
      <c r="O88" s="19"/>
      <c r="P88" s="17"/>
    </row>
    <row r="89" spans="1:18" ht="14.1" customHeight="1">
      <c r="A89" s="460" t="s">
        <v>139</v>
      </c>
      <c r="B89" s="460" t="s">
        <v>140</v>
      </c>
      <c r="C89" s="314"/>
      <c r="D89" s="409">
        <f>J89</f>
        <v>0.01</v>
      </c>
      <c r="E89" s="217" t="s">
        <v>58</v>
      </c>
      <c r="F89" s="410">
        <f>J90</f>
        <v>0.05</v>
      </c>
      <c r="G89" s="280" t="str">
        <f>IF(OR(D89=$C$90,AND(D89&lt;$C$90, F89&gt;$C$90)),H89,"")</f>
        <v/>
      </c>
      <c r="H89" s="246">
        <f>H88+J92</f>
        <v>1</v>
      </c>
      <c r="I89" s="63"/>
      <c r="J89" s="26">
        <v>0.01</v>
      </c>
      <c r="K89" s="134" t="s">
        <v>141</v>
      </c>
      <c r="L89" s="22"/>
      <c r="M89" s="22"/>
      <c r="N89" s="459"/>
      <c r="O89" s="19"/>
      <c r="P89" s="17"/>
    </row>
    <row r="90" spans="1:18">
      <c r="A90" s="461" t="s">
        <v>142</v>
      </c>
      <c r="B90" s="168" t="s">
        <v>77</v>
      </c>
      <c r="C90" s="269" t="str">
        <f>IF(ISBLANK(C89),"",(C88/C89)-100%)</f>
        <v/>
      </c>
      <c r="D90" s="409">
        <f>F89</f>
        <v>0.05</v>
      </c>
      <c r="E90" s="217" t="s">
        <v>58</v>
      </c>
      <c r="F90" s="410">
        <f>D90+J90</f>
        <v>0.1</v>
      </c>
      <c r="G90" s="280" t="str">
        <f>IF(OR(D90=$C$90,AND(D90&lt;$C$90, F90&gt;$C$90)),H90,"")</f>
        <v/>
      </c>
      <c r="H90" s="246">
        <f>H89+J92</f>
        <v>2</v>
      </c>
      <c r="I90" s="63"/>
      <c r="J90" s="135">
        <v>0.05</v>
      </c>
      <c r="K90" s="84" t="s">
        <v>143</v>
      </c>
      <c r="L90" s="22"/>
      <c r="M90" s="22"/>
      <c r="N90" s="459"/>
      <c r="O90" s="19"/>
      <c r="P90" s="17"/>
    </row>
    <row r="91" spans="1:18">
      <c r="A91" s="270"/>
      <c r="B91" s="271"/>
      <c r="C91" s="272"/>
      <c r="D91" s="409">
        <f>F90</f>
        <v>0.1</v>
      </c>
      <c r="E91" s="217" t="s">
        <v>144</v>
      </c>
      <c r="F91" s="406" t="s">
        <v>71</v>
      </c>
      <c r="G91" s="280" t="str">
        <f>IF(COUNT(C90)=0,"",IF(C$90&gt;=D91,H91,""))</f>
        <v/>
      </c>
      <c r="H91" s="246">
        <f>H90+J92</f>
        <v>3</v>
      </c>
      <c r="I91" s="63"/>
      <c r="J91" s="102">
        <f>H87</f>
        <v>3</v>
      </c>
      <c r="K91" s="134" t="s">
        <v>145</v>
      </c>
      <c r="L91" s="22"/>
      <c r="M91" s="22"/>
      <c r="N91" s="459"/>
      <c r="O91" s="19"/>
      <c r="P91" s="17"/>
    </row>
    <row r="92" spans="1:18">
      <c r="A92" s="53"/>
      <c r="B92" s="39"/>
      <c r="C92" s="17"/>
      <c r="D92" s="131"/>
      <c r="E92" s="95"/>
      <c r="F92" s="96"/>
      <c r="G92" s="52"/>
      <c r="H92" s="178"/>
      <c r="I92" s="63"/>
      <c r="J92" s="23">
        <f>J91/3</f>
        <v>1</v>
      </c>
      <c r="K92" s="134" t="s">
        <v>146</v>
      </c>
      <c r="L92" s="22"/>
      <c r="M92" s="22"/>
      <c r="N92" s="459"/>
      <c r="O92" s="19"/>
      <c r="P92" s="17"/>
    </row>
    <row r="93" spans="1:18">
      <c r="A93" s="53"/>
      <c r="B93" s="72"/>
      <c r="C93" s="61"/>
      <c r="D93" s="41" t="s">
        <v>14</v>
      </c>
      <c r="E93" s="41"/>
      <c r="F93" s="41"/>
      <c r="G93" s="40" t="s">
        <v>14</v>
      </c>
      <c r="H93" s="182"/>
      <c r="I93" s="61"/>
      <c r="J93" s="459"/>
      <c r="K93" s="459"/>
      <c r="L93" s="459"/>
      <c r="M93" s="459"/>
      <c r="N93" s="459"/>
      <c r="O93" s="19"/>
      <c r="P93" s="17"/>
    </row>
    <row r="94" spans="1:18" s="7" customFormat="1" ht="38.25">
      <c r="A94" s="42" t="s">
        <v>147</v>
      </c>
      <c r="B94" s="188"/>
      <c r="C94" s="190" t="s">
        <v>51</v>
      </c>
      <c r="D94" s="38">
        <f>SUM(D103)</f>
        <v>0</v>
      </c>
      <c r="E94" s="188"/>
      <c r="F94" s="127"/>
      <c r="G94" s="189" t="s">
        <v>17</v>
      </c>
      <c r="H94" s="204">
        <v>4</v>
      </c>
      <c r="I94" s="72"/>
      <c r="J94" s="19"/>
      <c r="K94" s="19"/>
      <c r="L94" s="19"/>
      <c r="M94" s="19"/>
      <c r="N94" s="19"/>
      <c r="O94" s="19"/>
      <c r="P94" s="17"/>
      <c r="Q94" s="301" t="s">
        <v>148</v>
      </c>
    </row>
    <row r="95" spans="1:18" ht="36" customHeight="1">
      <c r="A95" s="37"/>
      <c r="B95" s="36"/>
      <c r="C95" s="203" t="s">
        <v>149</v>
      </c>
      <c r="D95" s="466" t="s">
        <v>150</v>
      </c>
      <c r="E95" s="467"/>
      <c r="F95" s="468"/>
      <c r="G95" s="242"/>
      <c r="H95" s="243"/>
      <c r="I95" s="457"/>
      <c r="J95" s="85" t="s">
        <v>14</v>
      </c>
      <c r="K95" s="19"/>
      <c r="L95" s="493"/>
      <c r="M95" s="493"/>
      <c r="N95" s="19"/>
      <c r="O95" s="19"/>
      <c r="P95" s="17"/>
    </row>
    <row r="96" spans="1:18" ht="25.5" customHeight="1">
      <c r="A96" s="140" t="s">
        <v>151</v>
      </c>
      <c r="B96" s="140" t="s">
        <v>152</v>
      </c>
      <c r="C96" s="308" t="s">
        <v>153</v>
      </c>
      <c r="D96" s="479"/>
      <c r="E96" s="480"/>
      <c r="F96" s="480"/>
      <c r="G96" s="102"/>
      <c r="H96" s="180"/>
      <c r="I96" s="22"/>
      <c r="J96" s="202" t="s">
        <v>14</v>
      </c>
      <c r="K96" s="134"/>
      <c r="L96" s="459"/>
      <c r="M96" s="459"/>
      <c r="N96" s="19"/>
      <c r="O96" s="19"/>
      <c r="P96" s="17"/>
    </row>
    <row r="97" spans="1:17" ht="25.5" customHeight="1">
      <c r="A97" s="458" t="s">
        <v>154</v>
      </c>
      <c r="B97" s="140" t="s">
        <v>152</v>
      </c>
      <c r="C97" s="308" t="s">
        <v>153</v>
      </c>
      <c r="D97" s="471"/>
      <c r="E97" s="472"/>
      <c r="F97" s="472"/>
      <c r="G97" s="23"/>
      <c r="H97" s="180"/>
      <c r="I97" s="22"/>
      <c r="J97" s="202"/>
      <c r="K97" s="84"/>
      <c r="L97" s="459"/>
      <c r="M97" s="459"/>
      <c r="N97" s="19"/>
      <c r="O97" s="19"/>
      <c r="P97" s="17"/>
    </row>
    <row r="98" spans="1:17" ht="25.5" customHeight="1">
      <c r="A98" s="140" t="s">
        <v>155</v>
      </c>
      <c r="B98" s="140" t="s">
        <v>152</v>
      </c>
      <c r="C98" s="308" t="s">
        <v>153</v>
      </c>
      <c r="D98" s="471"/>
      <c r="E98" s="472"/>
      <c r="F98" s="472"/>
      <c r="G98" s="23"/>
      <c r="H98" s="180"/>
      <c r="I98" s="22"/>
      <c r="J98" s="202"/>
      <c r="K98" s="84"/>
      <c r="L98" s="459"/>
      <c r="M98" s="459"/>
      <c r="N98" s="19"/>
      <c r="O98" s="19"/>
      <c r="P98" s="17"/>
    </row>
    <row r="99" spans="1:17" ht="25.5" customHeight="1">
      <c r="A99" s="219" t="s">
        <v>156</v>
      </c>
      <c r="B99" s="140" t="s">
        <v>157</v>
      </c>
      <c r="C99" s="308" t="s">
        <v>153</v>
      </c>
      <c r="D99" s="471"/>
      <c r="E99" s="472"/>
      <c r="F99" s="472"/>
      <c r="G99" s="23"/>
      <c r="H99" s="180"/>
      <c r="I99" s="22"/>
      <c r="J99" s="202"/>
      <c r="K99" s="134"/>
      <c r="L99" s="496"/>
      <c r="M99" s="496"/>
      <c r="N99" s="19"/>
      <c r="O99" s="19"/>
      <c r="P99" s="17"/>
    </row>
    <row r="100" spans="1:17" s="17" customFormat="1" ht="25.5" customHeight="1">
      <c r="A100" s="219" t="s">
        <v>158</v>
      </c>
      <c r="B100" s="140" t="s">
        <v>152</v>
      </c>
      <c r="C100" s="308" t="s">
        <v>153</v>
      </c>
      <c r="D100" s="471"/>
      <c r="E100" s="472"/>
      <c r="F100" s="472"/>
      <c r="G100" s="52"/>
      <c r="H100" s="178"/>
      <c r="I100" s="59"/>
      <c r="J100" s="459"/>
      <c r="K100" s="459"/>
      <c r="L100" s="459"/>
      <c r="M100" s="459"/>
      <c r="N100" s="19"/>
      <c r="O100" s="19"/>
      <c r="Q100" s="299"/>
    </row>
    <row r="101" spans="1:17" s="17" customFormat="1" ht="25.5" customHeight="1">
      <c r="A101" s="219" t="s">
        <v>159</v>
      </c>
      <c r="B101" s="140" t="s">
        <v>152</v>
      </c>
      <c r="C101" s="308" t="s">
        <v>153</v>
      </c>
      <c r="D101" s="471"/>
      <c r="E101" s="472"/>
      <c r="F101" s="472"/>
      <c r="G101" s="52"/>
      <c r="H101" s="178"/>
      <c r="I101" s="59"/>
      <c r="J101" s="459"/>
      <c r="K101" s="459"/>
      <c r="L101" s="459"/>
      <c r="M101" s="459"/>
      <c r="N101" s="19"/>
      <c r="O101" s="19"/>
      <c r="Q101" s="299"/>
    </row>
    <row r="102" spans="1:17" s="17" customFormat="1" ht="25.5" customHeight="1">
      <c r="A102" s="219" t="s">
        <v>160</v>
      </c>
      <c r="B102" s="140" t="s">
        <v>152</v>
      </c>
      <c r="C102" s="308" t="s">
        <v>153</v>
      </c>
      <c r="D102" s="471"/>
      <c r="E102" s="472"/>
      <c r="F102" s="472"/>
      <c r="G102" s="52"/>
      <c r="H102" s="178"/>
      <c r="I102" s="59"/>
      <c r="J102" s="459"/>
      <c r="K102" s="459"/>
      <c r="L102" s="459"/>
      <c r="M102" s="459"/>
      <c r="N102" s="19"/>
      <c r="O102" s="19"/>
      <c r="Q102" s="299"/>
    </row>
    <row r="103" spans="1:17" ht="25.5" customHeight="1">
      <c r="A103" s="458" t="s">
        <v>161</v>
      </c>
      <c r="B103" s="193" t="s">
        <v>77</v>
      </c>
      <c r="C103" s="200"/>
      <c r="D103" s="505" t="str">
        <f>IF(C102="SELECT TRUE OR FALSE","",IF(AND(C96=TRUE,C97=TRUE,C98=TRUE,C99=TRUE,C100=TRUE,C101=TRUE,C102=TRUE),H94,0))</f>
        <v/>
      </c>
      <c r="E103" s="505"/>
      <c r="F103" s="505"/>
      <c r="G103" s="4"/>
      <c r="H103" s="307"/>
      <c r="I103" s="307"/>
      <c r="J103" s="63"/>
      <c r="K103" s="459"/>
      <c r="L103" s="22"/>
      <c r="M103" s="459"/>
      <c r="N103" s="19"/>
      <c r="O103" s="19"/>
      <c r="P103" s="17"/>
    </row>
    <row r="104" spans="1:17" ht="19.5" customHeight="1" thickBot="1">
      <c r="A104" s="85"/>
      <c r="B104" s="85"/>
      <c r="C104" s="252"/>
      <c r="D104" s="23"/>
      <c r="E104" s="23"/>
      <c r="F104" s="23"/>
      <c r="G104" s="23"/>
      <c r="H104" s="180"/>
      <c r="I104" s="22"/>
      <c r="J104" s="84"/>
      <c r="K104" s="134"/>
      <c r="L104" s="459"/>
      <c r="M104" s="459"/>
      <c r="N104" s="19"/>
      <c r="O104" s="19"/>
      <c r="P104" s="17"/>
    </row>
    <row r="105" spans="1:17" ht="19.5" thickTop="1" thickBot="1">
      <c r="A105" s="133" t="s">
        <v>162</v>
      </c>
      <c r="B105" s="82"/>
      <c r="C105" s="81" t="s">
        <v>163</v>
      </c>
      <c r="D105" s="500">
        <f>SUM(D108,D116,D124)</f>
        <v>0</v>
      </c>
      <c r="E105" s="501"/>
      <c r="F105" s="502"/>
      <c r="G105" s="77" t="s">
        <v>17</v>
      </c>
      <c r="H105" s="241">
        <f>SUM(H108,H116,H124)</f>
        <v>18</v>
      </c>
      <c r="I105" s="285"/>
      <c r="J105" s="17"/>
      <c r="K105" s="17"/>
      <c r="L105" s="17"/>
      <c r="M105" s="17"/>
      <c r="N105" s="19"/>
      <c r="O105" s="19"/>
      <c r="P105" s="17"/>
    </row>
    <row r="106" spans="1:17" s="139" customFormat="1" ht="18.75" thickTop="1">
      <c r="A106" s="42" t="s">
        <v>164</v>
      </c>
      <c r="B106" s="188"/>
      <c r="C106" s="190"/>
      <c r="D106" s="456"/>
      <c r="E106" s="188"/>
      <c r="F106" s="127"/>
      <c r="G106" s="189"/>
      <c r="H106" s="204"/>
      <c r="I106" s="136"/>
      <c r="J106" s="137"/>
      <c r="K106" s="137"/>
      <c r="L106" s="138"/>
      <c r="M106" s="138"/>
      <c r="N106" s="138"/>
      <c r="O106" s="138"/>
      <c r="P106" s="137"/>
      <c r="Q106" s="297"/>
    </row>
    <row r="107" spans="1:17" customFormat="1">
      <c r="A107" s="349"/>
      <c r="B107" s="349"/>
      <c r="C107" s="349"/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</row>
    <row r="108" spans="1:17" s="7" customFormat="1" ht="45.95" customHeight="1" thickBot="1">
      <c r="A108" s="42" t="s">
        <v>165</v>
      </c>
      <c r="B108" s="188"/>
      <c r="C108" s="190" t="s">
        <v>51</v>
      </c>
      <c r="D108" s="456">
        <f>SUM(G110:G113)</f>
        <v>0</v>
      </c>
      <c r="E108" s="188"/>
      <c r="F108" s="127"/>
      <c r="G108" s="189" t="s">
        <v>17</v>
      </c>
      <c r="H108" s="204">
        <v>4</v>
      </c>
      <c r="I108" s="61"/>
      <c r="J108" s="17"/>
      <c r="K108" s="84" t="s">
        <v>166</v>
      </c>
      <c r="L108" s="17"/>
      <c r="M108" s="17"/>
      <c r="N108" s="19"/>
      <c r="O108" s="17"/>
      <c r="P108" s="17"/>
      <c r="Q108" s="301" t="s">
        <v>167</v>
      </c>
    </row>
    <row r="109" spans="1:17" s="7" customFormat="1" ht="63.75" customHeight="1" thickTop="1">
      <c r="A109" s="302" t="s">
        <v>43</v>
      </c>
      <c r="B109" s="302" t="s">
        <v>44</v>
      </c>
      <c r="C109" s="302" t="s">
        <v>45</v>
      </c>
      <c r="D109" s="494" t="s">
        <v>168</v>
      </c>
      <c r="E109" s="494"/>
      <c r="F109" s="494"/>
      <c r="G109" s="302" t="s">
        <v>47</v>
      </c>
      <c r="H109" s="179" t="s">
        <v>48</v>
      </c>
      <c r="I109" s="61"/>
      <c r="J109" s="17"/>
      <c r="K109" s="84"/>
      <c r="L109" s="17"/>
      <c r="M109" s="17"/>
      <c r="N109" s="19"/>
      <c r="O109" s="17"/>
      <c r="P109" s="17"/>
      <c r="Q109" s="291"/>
    </row>
    <row r="110" spans="1:17" ht="12" customHeight="1">
      <c r="A110" s="153" t="s">
        <v>112</v>
      </c>
      <c r="B110" s="154" t="s">
        <v>169</v>
      </c>
      <c r="C110" s="239">
        <f>H5</f>
        <v>0</v>
      </c>
      <c r="D110" s="409">
        <f>K110</f>
        <v>1.1000000000000001</v>
      </c>
      <c r="E110" s="217" t="s">
        <v>70</v>
      </c>
      <c r="F110" s="410" t="s">
        <v>71</v>
      </c>
      <c r="G110" s="280" t="str">
        <f>IF(COUNT(C114)=0,"",IF(C114&gt;D110,H110,""))</f>
        <v/>
      </c>
      <c r="H110" s="246">
        <v>0</v>
      </c>
      <c r="I110" s="22"/>
      <c r="J110" s="17"/>
      <c r="K110" s="253">
        <v>1.1000000000000001</v>
      </c>
      <c r="L110" s="84" t="s">
        <v>170</v>
      </c>
      <c r="M110" s="17"/>
      <c r="N110" s="17"/>
      <c r="O110" s="17"/>
      <c r="P110" s="17"/>
      <c r="Q110" s="1" t="s">
        <v>171</v>
      </c>
    </row>
    <row r="111" spans="1:17" ht="36" customHeight="1">
      <c r="A111" s="460" t="s">
        <v>172</v>
      </c>
      <c r="B111" s="153" t="s">
        <v>173</v>
      </c>
      <c r="C111" s="93" t="s">
        <v>14</v>
      </c>
      <c r="D111" s="409">
        <f>F111-K111</f>
        <v>1</v>
      </c>
      <c r="E111" s="217" t="s">
        <v>58</v>
      </c>
      <c r="F111" s="410">
        <f>K110</f>
        <v>1.1000000000000001</v>
      </c>
      <c r="G111" s="280" t="str">
        <f>IF(OR(D111=$C$114,AND(D111&lt;$C$114, F111&gt;$C$114)),H111,"")</f>
        <v/>
      </c>
      <c r="H111" s="246">
        <f>H110+K$113</f>
        <v>1</v>
      </c>
      <c r="I111" s="126" t="s">
        <v>14</v>
      </c>
      <c r="J111" s="17"/>
      <c r="K111" s="157">
        <v>0.1</v>
      </c>
      <c r="L111" s="84" t="s">
        <v>174</v>
      </c>
      <c r="M111" s="17"/>
      <c r="N111" s="17"/>
      <c r="O111" s="17"/>
      <c r="P111" s="17"/>
      <c r="Q111" s="1" t="s">
        <v>175</v>
      </c>
    </row>
    <row r="112" spans="1:17" ht="12" customHeight="1">
      <c r="A112" s="460" t="s">
        <v>176</v>
      </c>
      <c r="B112" s="156" t="s">
        <v>77</v>
      </c>
      <c r="C112" s="286" t="str">
        <f>IF(COUNT(C111)=0,"",C111/C110)</f>
        <v/>
      </c>
      <c r="D112" s="409">
        <f>K110-(4*K111)</f>
        <v>0.70000000000000007</v>
      </c>
      <c r="E112" s="217" t="s">
        <v>177</v>
      </c>
      <c r="F112" s="410">
        <f>K110-K111</f>
        <v>1</v>
      </c>
      <c r="G112" s="280" t="str">
        <f>IF(OR(D112=$C$114,AND(D112&lt;$C$114, F112&gt;$C$114)),H112,"")</f>
        <v/>
      </c>
      <c r="H112" s="246">
        <f>H111+K$113</f>
        <v>2</v>
      </c>
      <c r="I112" s="22"/>
      <c r="J112" s="17"/>
      <c r="K112" s="61">
        <f>H108</f>
        <v>4</v>
      </c>
      <c r="L112" s="84" t="s">
        <v>68</v>
      </c>
      <c r="M112" s="17"/>
      <c r="N112" s="17"/>
      <c r="O112" s="17"/>
      <c r="P112" s="17"/>
    </row>
    <row r="113" spans="1:48" ht="12" customHeight="1">
      <c r="A113" s="458" t="s">
        <v>178</v>
      </c>
      <c r="B113" s="453" t="s">
        <v>179</v>
      </c>
      <c r="C113" s="287"/>
      <c r="D113" s="409">
        <v>0</v>
      </c>
      <c r="E113" s="217" t="s">
        <v>98</v>
      </c>
      <c r="F113" s="410">
        <f>K110-(4*K111)</f>
        <v>0.70000000000000007</v>
      </c>
      <c r="G113" s="280" t="str">
        <f>IF(OR(D113=$C$114,AND(D113&lt;$C$114, F113&gt;$C$114)),H113,"")</f>
        <v/>
      </c>
      <c r="H113" s="246">
        <f>H112+(2*K$113)</f>
        <v>4</v>
      </c>
      <c r="I113" s="22"/>
      <c r="J113" s="17"/>
      <c r="K113" s="61">
        <f>K112/4</f>
        <v>1</v>
      </c>
      <c r="L113" s="85" t="s">
        <v>180</v>
      </c>
      <c r="M113" s="19"/>
      <c r="N113" s="17"/>
      <c r="O113" s="17"/>
      <c r="P113" s="17"/>
    </row>
    <row r="114" spans="1:48" ht="24.75" customHeight="1">
      <c r="A114" s="461" t="s">
        <v>181</v>
      </c>
      <c r="B114" s="151" t="s">
        <v>77</v>
      </c>
      <c r="C114" s="244" t="str">
        <f>IF(ISBLANK(C113),"",$C112/C113)</f>
        <v/>
      </c>
      <c r="D114" s="17"/>
      <c r="E114" s="17"/>
      <c r="F114" s="17"/>
      <c r="G114" s="61"/>
      <c r="H114" s="182"/>
      <c r="I114" s="22"/>
      <c r="J114" s="63"/>
      <c r="K114" s="459"/>
      <c r="L114" s="22"/>
      <c r="M114" s="17"/>
      <c r="N114" s="17"/>
      <c r="O114" s="17"/>
      <c r="P114" s="17"/>
    </row>
    <row r="115" spans="1:48" ht="12" customHeight="1">
      <c r="A115" s="85"/>
      <c r="B115" s="309"/>
      <c r="C115" s="310"/>
      <c r="D115" s="17"/>
      <c r="E115" s="17"/>
      <c r="F115" s="17"/>
      <c r="G115" s="61"/>
      <c r="H115" s="182"/>
      <c r="I115" s="22"/>
      <c r="J115" s="17"/>
      <c r="K115" s="17"/>
      <c r="L115" s="17"/>
      <c r="M115" s="17"/>
      <c r="N115" s="17"/>
      <c r="O115" s="17"/>
      <c r="P115" s="17"/>
    </row>
    <row r="116" spans="1:48" s="7" customFormat="1" ht="45.95" customHeight="1" thickBot="1">
      <c r="A116" s="42" t="s">
        <v>182</v>
      </c>
      <c r="B116" s="188"/>
      <c r="C116" s="190" t="s">
        <v>51</v>
      </c>
      <c r="D116" s="456">
        <f>SUM(G118:G121)</f>
        <v>0</v>
      </c>
      <c r="E116" s="188"/>
      <c r="F116" s="127"/>
      <c r="G116" s="189" t="s">
        <v>17</v>
      </c>
      <c r="H116" s="204">
        <v>4</v>
      </c>
      <c r="I116" s="61"/>
      <c r="J116" s="17"/>
      <c r="K116" s="84" t="s">
        <v>166</v>
      </c>
      <c r="L116" s="17"/>
      <c r="M116" s="17"/>
      <c r="N116" s="19"/>
      <c r="O116" s="17"/>
      <c r="P116" s="17"/>
      <c r="Q116" s="301" t="s">
        <v>167</v>
      </c>
    </row>
    <row r="117" spans="1:48" s="7" customFormat="1" ht="71.25" customHeight="1" thickTop="1">
      <c r="A117" s="302" t="s">
        <v>43</v>
      </c>
      <c r="B117" s="302" t="s">
        <v>44</v>
      </c>
      <c r="C117" s="302" t="s">
        <v>45</v>
      </c>
      <c r="D117" s="494" t="s">
        <v>168</v>
      </c>
      <c r="E117" s="494"/>
      <c r="F117" s="494"/>
      <c r="G117" s="302" t="s">
        <v>47</v>
      </c>
      <c r="H117" s="179" t="s">
        <v>48</v>
      </c>
      <c r="I117" s="61"/>
      <c r="J117" s="17"/>
      <c r="K117" s="84"/>
      <c r="L117" s="17"/>
      <c r="M117" s="17"/>
      <c r="N117" s="19"/>
      <c r="O117" s="17"/>
      <c r="P117" s="17"/>
      <c r="Q117" s="291"/>
    </row>
    <row r="118" spans="1:48" ht="12" customHeight="1">
      <c r="A118" s="153" t="s">
        <v>112</v>
      </c>
      <c r="B118" s="154" t="s">
        <v>169</v>
      </c>
      <c r="C118" s="239">
        <f>H5</f>
        <v>0</v>
      </c>
      <c r="D118" s="409">
        <f>K118</f>
        <v>1.1000000000000001</v>
      </c>
      <c r="E118" s="217" t="s">
        <v>70</v>
      </c>
      <c r="F118" s="410" t="s">
        <v>71</v>
      </c>
      <c r="G118" s="280" t="str">
        <f>IF(COUNT(C122)=0,"",IF(C122&gt;D118,H118,""))</f>
        <v/>
      </c>
      <c r="H118" s="246">
        <v>0</v>
      </c>
      <c r="I118" s="22"/>
      <c r="J118" s="17"/>
      <c r="K118" s="253">
        <v>1.1000000000000001</v>
      </c>
      <c r="L118" s="84" t="s">
        <v>170</v>
      </c>
      <c r="M118" s="17"/>
      <c r="N118" s="17"/>
      <c r="O118" s="17"/>
      <c r="P118" s="17"/>
      <c r="Q118" s="1" t="s">
        <v>171</v>
      </c>
    </row>
    <row r="119" spans="1:48" ht="36" customHeight="1">
      <c r="A119" s="460" t="s">
        <v>183</v>
      </c>
      <c r="B119" s="153" t="s">
        <v>184</v>
      </c>
      <c r="C119" s="93"/>
      <c r="D119" s="409">
        <f>F119-K119</f>
        <v>1</v>
      </c>
      <c r="E119" s="217" t="s">
        <v>58</v>
      </c>
      <c r="F119" s="410">
        <f>K118</f>
        <v>1.1000000000000001</v>
      </c>
      <c r="G119" s="280" t="str">
        <f>IF(OR(D119=$C$122,AND(D119&lt;$C$122, F119&gt;$C$122)),H119,"")</f>
        <v/>
      </c>
      <c r="H119" s="246">
        <f>H118+K$113</f>
        <v>1</v>
      </c>
      <c r="I119" s="126" t="s">
        <v>14</v>
      </c>
      <c r="J119" s="17"/>
      <c r="K119" s="157">
        <v>0.1</v>
      </c>
      <c r="L119" s="84" t="s">
        <v>174</v>
      </c>
      <c r="M119" s="17"/>
      <c r="N119" s="17"/>
      <c r="O119" s="17"/>
      <c r="P119" s="17"/>
      <c r="Q119" s="1" t="s">
        <v>175</v>
      </c>
    </row>
    <row r="120" spans="1:48" ht="12" customHeight="1">
      <c r="A120" s="460" t="s">
        <v>176</v>
      </c>
      <c r="B120" s="156" t="s">
        <v>77</v>
      </c>
      <c r="C120" s="286" t="str">
        <f>IF(ISBLANK(C119),"",C119/C118)</f>
        <v/>
      </c>
      <c r="D120" s="409">
        <f>K118-(4*K119)</f>
        <v>0.70000000000000007</v>
      </c>
      <c r="E120" s="217" t="s">
        <v>177</v>
      </c>
      <c r="F120" s="410">
        <f>K118-K119</f>
        <v>1</v>
      </c>
      <c r="G120" s="280" t="str">
        <f>IF(OR(D120=$C$122,AND(D120&lt;$C$122, F120&gt;$C$122)),H120,"")</f>
        <v/>
      </c>
      <c r="H120" s="246">
        <f>H119+K$113</f>
        <v>2</v>
      </c>
      <c r="I120" s="22"/>
      <c r="J120" s="17"/>
      <c r="K120" s="61">
        <f>H116</f>
        <v>4</v>
      </c>
      <c r="L120" s="84" t="s">
        <v>68</v>
      </c>
      <c r="M120" s="17"/>
      <c r="N120" s="17"/>
      <c r="O120" s="17"/>
      <c r="P120" s="17"/>
    </row>
    <row r="121" spans="1:48" ht="24.75" customHeight="1">
      <c r="A121" s="458" t="s">
        <v>178</v>
      </c>
      <c r="B121" s="453" t="s">
        <v>185</v>
      </c>
      <c r="C121" s="287"/>
      <c r="D121" s="409">
        <v>0</v>
      </c>
      <c r="E121" s="217" t="s">
        <v>110</v>
      </c>
      <c r="F121" s="410">
        <f>K118-(4*K119)</f>
        <v>0.70000000000000007</v>
      </c>
      <c r="G121" s="280" t="str">
        <f>IF(OR(D121=$C$122,AND(D121&lt;$C$122, F121&gt;$C$122)),H121,"")</f>
        <v/>
      </c>
      <c r="H121" s="246">
        <f>H120+(2*K$113)</f>
        <v>4</v>
      </c>
      <c r="I121" s="22"/>
      <c r="J121" s="17"/>
      <c r="K121" s="61">
        <f>K120/4</f>
        <v>1</v>
      </c>
      <c r="L121" s="85" t="s">
        <v>180</v>
      </c>
      <c r="M121" s="19"/>
      <c r="N121" s="17"/>
      <c r="O121" s="17"/>
      <c r="P121" s="17"/>
    </row>
    <row r="122" spans="1:48" ht="30.75" customHeight="1">
      <c r="A122" s="461" t="s">
        <v>181</v>
      </c>
      <c r="B122" s="151" t="s">
        <v>77</v>
      </c>
      <c r="C122" s="244" t="str">
        <f>IF(ISBLANK(C121),"",$C120/C121)</f>
        <v/>
      </c>
      <c r="D122" s="17"/>
      <c r="E122" s="17"/>
      <c r="F122" s="17"/>
      <c r="G122" s="61"/>
      <c r="H122" s="182"/>
      <c r="I122" s="22"/>
      <c r="J122" s="63"/>
      <c r="K122" s="459"/>
      <c r="L122" s="22"/>
      <c r="M122" s="17"/>
      <c r="N122" s="17"/>
      <c r="O122" s="17"/>
      <c r="P122" s="17"/>
    </row>
    <row r="123" spans="1:48" ht="12" customHeight="1">
      <c r="A123" s="85"/>
      <c r="B123" s="309"/>
      <c r="C123" s="310"/>
      <c r="D123" s="17"/>
      <c r="E123" s="17"/>
      <c r="F123" s="17"/>
      <c r="G123" s="61"/>
      <c r="H123" s="182"/>
      <c r="I123" s="22"/>
      <c r="J123" s="17"/>
      <c r="K123" s="17"/>
      <c r="L123" s="17"/>
      <c r="M123" s="17"/>
      <c r="N123" s="17"/>
      <c r="O123" s="17"/>
      <c r="P123" s="17"/>
    </row>
    <row r="124" spans="1:48" s="7" customFormat="1" ht="27.95" customHeight="1">
      <c r="A124" s="42" t="s">
        <v>186</v>
      </c>
      <c r="B124" s="188"/>
      <c r="C124" s="190" t="s">
        <v>51</v>
      </c>
      <c r="D124" s="456">
        <f>H127</f>
        <v>0</v>
      </c>
      <c r="E124" s="188"/>
      <c r="F124" s="127"/>
      <c r="G124" s="189" t="s">
        <v>17</v>
      </c>
      <c r="H124" s="204">
        <v>10</v>
      </c>
      <c r="I124" s="61"/>
      <c r="J124" s="17"/>
      <c r="K124" s="17"/>
      <c r="L124" s="17"/>
      <c r="M124" s="17"/>
      <c r="N124" s="19"/>
      <c r="O124" s="17"/>
      <c r="P124" s="17"/>
      <c r="Q124" s="291"/>
    </row>
    <row r="125" spans="1:48" ht="12.75" customHeight="1">
      <c r="A125" s="153" t="s">
        <v>187</v>
      </c>
      <c r="B125" s="154" t="s">
        <v>188</v>
      </c>
      <c r="C125" s="211"/>
      <c r="D125" s="94"/>
      <c r="E125" s="95"/>
      <c r="F125" s="96"/>
      <c r="G125" s="90"/>
      <c r="H125" s="180"/>
      <c r="I125" s="60"/>
      <c r="J125" s="17"/>
      <c r="K125" s="17"/>
      <c r="L125" s="17"/>
      <c r="M125" s="17"/>
      <c r="N125" s="17"/>
      <c r="O125" s="17"/>
      <c r="P125" s="17"/>
    </row>
    <row r="126" spans="1:48" ht="12.75" customHeight="1">
      <c r="A126" s="470" t="s">
        <v>189</v>
      </c>
      <c r="B126" s="470"/>
      <c r="C126" s="211"/>
      <c r="D126" s="94"/>
      <c r="E126" s="95"/>
      <c r="F126" s="96"/>
      <c r="G126" s="52"/>
      <c r="H126" s="178"/>
      <c r="I126" s="22"/>
      <c r="J126" s="19"/>
      <c r="K126" s="19"/>
      <c r="L126" s="17"/>
      <c r="M126" s="17"/>
      <c r="N126" s="19"/>
      <c r="O126" s="19"/>
      <c r="P126" s="17"/>
    </row>
    <row r="127" spans="1:48" ht="12.75" customHeight="1">
      <c r="A127" s="153" t="s">
        <v>190</v>
      </c>
      <c r="B127" s="156" t="s">
        <v>77</v>
      </c>
      <c r="C127" s="100" t="str">
        <f>IF(ISBLANK(C126),"",C125/C126)</f>
        <v/>
      </c>
      <c r="D127" s="94"/>
      <c r="E127" s="473" t="s">
        <v>191</v>
      </c>
      <c r="F127" s="474"/>
      <c r="G127" s="475"/>
      <c r="H127" s="506">
        <f>IF(C130="",0,IF(OR(C130&gt;0.95,C130=0.95),H124,IF(OR(ISBLANK(C125),C125=0,ISBLANK(C126),C126=0,ISBLANK(C128),C128=0),"",0)))</f>
        <v>0</v>
      </c>
      <c r="I127" s="22"/>
      <c r="J127" s="19"/>
      <c r="K127" s="19"/>
      <c r="L127" s="19"/>
      <c r="M127" s="19"/>
      <c r="N127" s="19"/>
      <c r="O127" s="19"/>
      <c r="P127" s="17"/>
    </row>
    <row r="128" spans="1:48" ht="27.75" customHeight="1">
      <c r="A128" s="140" t="s">
        <v>192</v>
      </c>
      <c r="B128" s="461" t="s">
        <v>193</v>
      </c>
      <c r="C128" s="277"/>
      <c r="D128" s="94"/>
      <c r="E128" s="476"/>
      <c r="F128" s="477"/>
      <c r="G128" s="478"/>
      <c r="H128" s="507"/>
      <c r="I128" s="22"/>
      <c r="J128" s="338"/>
      <c r="K128" s="19"/>
      <c r="L128" s="19"/>
      <c r="M128" s="19"/>
      <c r="N128" s="19"/>
      <c r="O128" s="19"/>
      <c r="P128" s="17"/>
      <c r="AV128" s="19" t="s">
        <v>14</v>
      </c>
    </row>
    <row r="129" spans="1:20" ht="12.75" customHeight="1">
      <c r="A129" s="469" t="s">
        <v>194</v>
      </c>
      <c r="B129" s="469"/>
      <c r="C129" s="99" t="str">
        <f>IF(ISBLANK(C128),"",C128/12)</f>
        <v/>
      </c>
      <c r="D129" s="85"/>
      <c r="E129" s="85"/>
      <c r="F129" s="85"/>
      <c r="G129" s="97"/>
      <c r="H129" s="184"/>
      <c r="I129" s="192"/>
      <c r="K129" s="19"/>
      <c r="L129" s="19"/>
      <c r="M129" s="19"/>
      <c r="N129" s="459"/>
      <c r="O129" s="19"/>
      <c r="P129" s="17"/>
    </row>
    <row r="130" spans="1:20" s="7" customFormat="1" ht="26.25" customHeight="1">
      <c r="A130" s="153" t="s">
        <v>195</v>
      </c>
      <c r="B130" s="156" t="s">
        <v>77</v>
      </c>
      <c r="C130" s="245" t="str">
        <f>IF(OR(C129=0,C126=0),"",C127/C129)</f>
        <v/>
      </c>
      <c r="D130" s="85"/>
      <c r="E130" s="85"/>
      <c r="F130" s="85"/>
      <c r="G130" s="97"/>
      <c r="H130" s="184"/>
      <c r="I130" s="192"/>
      <c r="J130" s="63"/>
      <c r="K130" s="459"/>
      <c r="L130" s="22"/>
      <c r="M130" s="19"/>
      <c r="N130" s="459"/>
      <c r="O130" s="19"/>
      <c r="P130" s="17"/>
      <c r="Q130" s="291"/>
    </row>
    <row r="131" spans="1:20" s="7" customFormat="1" ht="19.5" customHeight="1" thickBot="1">
      <c r="A131" s="503" t="s">
        <v>14</v>
      </c>
      <c r="B131" s="504"/>
      <c r="C131" s="105"/>
      <c r="D131" s="85"/>
      <c r="E131" s="85"/>
      <c r="F131" s="85"/>
      <c r="G131" s="97"/>
      <c r="H131" s="184"/>
      <c r="I131" s="192"/>
      <c r="J131" s="19"/>
      <c r="K131" s="19"/>
      <c r="L131" s="19"/>
      <c r="M131" s="19"/>
      <c r="N131" s="459"/>
      <c r="O131" s="19"/>
      <c r="P131" s="17"/>
      <c r="Q131" s="291"/>
    </row>
    <row r="132" spans="1:20" s="78" customFormat="1" ht="20.100000000000001" customHeight="1" thickTop="1" thickBot="1">
      <c r="A132" s="133" t="s">
        <v>196</v>
      </c>
      <c r="B132" s="82"/>
      <c r="C132" s="81" t="s">
        <v>41</v>
      </c>
      <c r="D132" s="500">
        <f>SUM(D134,D142,D150,D159)</f>
        <v>0</v>
      </c>
      <c r="E132" s="501"/>
      <c r="F132" s="502"/>
      <c r="G132" s="77" t="s">
        <v>17</v>
      </c>
      <c r="H132" s="241">
        <f>SUM(H134,H142,H150,H159)</f>
        <v>26</v>
      </c>
      <c r="I132" s="75"/>
      <c r="J132" s="32"/>
      <c r="K132" s="32"/>
      <c r="L132" s="80"/>
      <c r="M132" s="79"/>
      <c r="N132" s="79"/>
      <c r="O132" s="79"/>
      <c r="P132" s="79"/>
      <c r="Q132" s="293"/>
    </row>
    <row r="133" spans="1:20" s="68" customFormat="1" ht="60" customHeight="1" thickTop="1">
      <c r="A133" s="288" t="s">
        <v>43</v>
      </c>
      <c r="B133" s="288" t="s">
        <v>44</v>
      </c>
      <c r="C133" s="288" t="s">
        <v>45</v>
      </c>
      <c r="D133" s="494" t="s">
        <v>168</v>
      </c>
      <c r="E133" s="494"/>
      <c r="F133" s="494"/>
      <c r="G133" s="288" t="s">
        <v>47</v>
      </c>
      <c r="H133" s="185" t="s">
        <v>48</v>
      </c>
      <c r="I133" s="288"/>
      <c r="J133" s="55" t="s">
        <v>49</v>
      </c>
      <c r="K133" s="69"/>
      <c r="L133" s="69"/>
      <c r="M133" s="69"/>
      <c r="N133" s="69"/>
      <c r="O133" s="69"/>
      <c r="P133" s="69"/>
      <c r="Q133" s="294"/>
    </row>
    <row r="134" spans="1:20" s="7" customFormat="1" ht="27.95" customHeight="1">
      <c r="A134" s="42" t="s">
        <v>197</v>
      </c>
      <c r="B134" s="188"/>
      <c r="C134" s="190" t="s">
        <v>51</v>
      </c>
      <c r="D134" s="456">
        <f>SUM(G135:G140)</f>
        <v>0</v>
      </c>
      <c r="E134" s="188"/>
      <c r="F134" s="127"/>
      <c r="G134" s="189" t="s">
        <v>17</v>
      </c>
      <c r="H134" s="204">
        <v>5</v>
      </c>
      <c r="I134" s="192"/>
      <c r="J134" s="19"/>
      <c r="K134" s="19"/>
      <c r="L134" s="19"/>
      <c r="M134" s="19"/>
      <c r="N134" s="19"/>
      <c r="O134" s="19"/>
      <c r="P134" s="17"/>
      <c r="Q134" s="291" t="s">
        <v>198</v>
      </c>
    </row>
    <row r="135" spans="1:20" ht="33" customHeight="1">
      <c r="A135" s="153" t="s">
        <v>199</v>
      </c>
      <c r="B135" s="154" t="s">
        <v>200</v>
      </c>
      <c r="C135" s="12"/>
      <c r="D135" s="409">
        <v>0</v>
      </c>
      <c r="E135" s="217" t="s">
        <v>98</v>
      </c>
      <c r="F135" s="410">
        <f>J137</f>
        <v>1</v>
      </c>
      <c r="G135" s="141" t="str">
        <f>IF(F135&gt;C140,H135,"")</f>
        <v/>
      </c>
      <c r="H135" s="246">
        <v>0</v>
      </c>
      <c r="I135" s="457"/>
      <c r="J135" s="63"/>
      <c r="K135" s="459"/>
      <c r="L135" s="22"/>
      <c r="M135" s="459"/>
      <c r="N135" s="459"/>
      <c r="O135" s="459"/>
      <c r="P135" s="20"/>
      <c r="Q135" s="298"/>
      <c r="R135" s="8"/>
      <c r="S135" s="8"/>
      <c r="T135" s="8"/>
    </row>
    <row r="136" spans="1:20" ht="28.5" customHeight="1">
      <c r="A136" s="153" t="s">
        <v>201</v>
      </c>
      <c r="B136" s="154" t="s">
        <v>202</v>
      </c>
      <c r="C136" s="12"/>
      <c r="D136" s="409">
        <f>F135</f>
        <v>1</v>
      </c>
      <c r="E136" s="217" t="s">
        <v>61</v>
      </c>
      <c r="F136" s="410">
        <f>D136+$J$138</f>
        <v>1.1499999999999999</v>
      </c>
      <c r="G136" s="141" t="str">
        <f>IF(OR(D136=$C$140,AND(D136&lt;$C$140,F136&gt;$C$140)),H136,"")</f>
        <v/>
      </c>
      <c r="H136" s="246">
        <f>H135+J$140</f>
        <v>1</v>
      </c>
      <c r="I136" s="457"/>
      <c r="J136" s="26">
        <v>1</v>
      </c>
      <c r="K136" s="459" t="s">
        <v>102</v>
      </c>
      <c r="L136" s="459"/>
      <c r="M136" s="459"/>
      <c r="N136" s="459"/>
      <c r="O136" s="459"/>
      <c r="P136" s="20"/>
      <c r="Q136" s="298"/>
      <c r="R136" s="8"/>
      <c r="S136" s="8"/>
      <c r="T136" s="8"/>
    </row>
    <row r="137" spans="1:20" ht="28.5" customHeight="1">
      <c r="A137" s="158" t="s">
        <v>203</v>
      </c>
      <c r="B137" s="154" t="s">
        <v>204</v>
      </c>
      <c r="C137" s="12"/>
      <c r="D137" s="409">
        <f>F136</f>
        <v>1.1499999999999999</v>
      </c>
      <c r="E137" s="217" t="s">
        <v>61</v>
      </c>
      <c r="F137" s="410">
        <f>D137+$J$138</f>
        <v>1.2999999999999998</v>
      </c>
      <c r="G137" s="141" t="str">
        <f>IF(OR(D137=$C$140,AND(D137&lt;$C$140,F137&gt;$C$140)),H137,"")</f>
        <v/>
      </c>
      <c r="H137" s="246">
        <f>H136+J$140</f>
        <v>2</v>
      </c>
      <c r="I137" s="97" t="s">
        <v>14</v>
      </c>
      <c r="J137" s="27">
        <v>1</v>
      </c>
      <c r="K137" s="459" t="s">
        <v>89</v>
      </c>
      <c r="L137" s="22"/>
      <c r="M137" s="22"/>
      <c r="N137" s="459"/>
      <c r="O137" s="19"/>
      <c r="P137" s="17"/>
    </row>
    <row r="138" spans="1:20" ht="28.5" customHeight="1">
      <c r="A138" s="158" t="s">
        <v>205</v>
      </c>
      <c r="B138" s="159" t="s">
        <v>77</v>
      </c>
      <c r="C138" s="160" t="str">
        <f>IF(COUNT(C137)=0,"",SUM(C135:C137))</f>
        <v/>
      </c>
      <c r="D138" s="409">
        <f t="shared" ref="D138:D140" si="13">F137</f>
        <v>1.2999999999999998</v>
      </c>
      <c r="E138" s="217" t="s">
        <v>61</v>
      </c>
      <c r="F138" s="410">
        <f>D138+$J$138</f>
        <v>1.4499999999999997</v>
      </c>
      <c r="G138" s="141" t="str">
        <f>IF(OR(D138=$C$140,AND(D138&lt;$C$140,F138&gt;$C$140)),H138,"")</f>
        <v/>
      </c>
      <c r="H138" s="246">
        <f>H137+J$140</f>
        <v>3</v>
      </c>
      <c r="I138" s="59"/>
      <c r="J138" s="27">
        <v>0.15</v>
      </c>
      <c r="K138" s="459" t="s">
        <v>90</v>
      </c>
      <c r="L138" s="22"/>
      <c r="M138" s="22"/>
      <c r="N138" s="459"/>
      <c r="O138" s="19"/>
      <c r="P138" s="17"/>
    </row>
    <row r="139" spans="1:20" ht="28.5" customHeight="1">
      <c r="A139" s="158" t="s">
        <v>206</v>
      </c>
      <c r="B139" s="158" t="s">
        <v>207</v>
      </c>
      <c r="C139" s="255">
        <f>H6</f>
        <v>0</v>
      </c>
      <c r="D139" s="409">
        <f t="shared" si="13"/>
        <v>1.4499999999999997</v>
      </c>
      <c r="E139" s="217" t="s">
        <v>61</v>
      </c>
      <c r="F139" s="410">
        <f>D139+$J$138</f>
        <v>1.5999999999999996</v>
      </c>
      <c r="G139" s="141" t="str">
        <f>IF(OR(D139=$C$140,AND(D139&lt;$C$140,F139&gt;$C$140)),H139,"")</f>
        <v/>
      </c>
      <c r="H139" s="246">
        <f>H138+J$140</f>
        <v>4</v>
      </c>
      <c r="I139" s="59"/>
      <c r="J139" s="23">
        <f>H134</f>
        <v>5</v>
      </c>
      <c r="K139" s="459" t="s">
        <v>68</v>
      </c>
      <c r="L139" s="22"/>
      <c r="M139" s="22"/>
      <c r="N139" s="459"/>
      <c r="O139" s="19"/>
      <c r="P139" s="17"/>
    </row>
    <row r="140" spans="1:20" ht="28.5" customHeight="1">
      <c r="A140" s="158" t="s">
        <v>208</v>
      </c>
      <c r="B140" s="159" t="s">
        <v>77</v>
      </c>
      <c r="C140" s="205" t="str">
        <f>IF(COUNT(C138)=0,"",C138/C139)</f>
        <v/>
      </c>
      <c r="D140" s="409">
        <f t="shared" si="13"/>
        <v>1.5999999999999996</v>
      </c>
      <c r="E140" s="217" t="s">
        <v>144</v>
      </c>
      <c r="F140" s="406" t="s">
        <v>71</v>
      </c>
      <c r="G140" s="141" t="str">
        <f>IF(C140="","",IF(OR(D140=$C$140,D140&lt;$C$140),H140,""))</f>
        <v/>
      </c>
      <c r="H140" s="246">
        <f>H139+J$140</f>
        <v>5</v>
      </c>
      <c r="I140" s="59"/>
      <c r="J140" s="23">
        <f>H134/5</f>
        <v>1</v>
      </c>
      <c r="K140" s="459" t="s">
        <v>91</v>
      </c>
      <c r="L140" s="22"/>
      <c r="M140" s="22"/>
      <c r="N140" s="459"/>
      <c r="O140" s="19"/>
      <c r="P140" s="17"/>
    </row>
    <row r="141" spans="1:20" ht="13.5" customHeight="1">
      <c r="A141" s="148"/>
      <c r="B141" s="149"/>
      <c r="C141" s="254"/>
      <c r="D141" s="17"/>
      <c r="E141" s="17"/>
      <c r="F141" s="17"/>
      <c r="G141" s="61"/>
      <c r="H141" s="182"/>
      <c r="I141" s="61"/>
      <c r="J141" s="17"/>
      <c r="K141" s="459"/>
      <c r="L141" s="459"/>
      <c r="M141" s="459"/>
      <c r="N141" s="459"/>
      <c r="O141" s="17"/>
      <c r="P141" s="17"/>
    </row>
    <row r="142" spans="1:20" ht="30" customHeight="1">
      <c r="A142" s="42" t="s">
        <v>209</v>
      </c>
      <c r="B142" s="188"/>
      <c r="C142" s="190" t="s">
        <v>51</v>
      </c>
      <c r="D142" s="456">
        <f>SUM(G143:G147)</f>
        <v>0</v>
      </c>
      <c r="E142" s="188"/>
      <c r="F142" s="127"/>
      <c r="G142" s="189" t="s">
        <v>17</v>
      </c>
      <c r="H142" s="204">
        <v>4</v>
      </c>
      <c r="I142" s="61"/>
      <c r="J142" s="63"/>
      <c r="K142" s="459"/>
      <c r="L142" s="22"/>
      <c r="M142" s="459"/>
      <c r="N142" s="459"/>
      <c r="O142" s="17"/>
      <c r="P142" s="17"/>
      <c r="Q142" s="290" t="s">
        <v>210</v>
      </c>
    </row>
    <row r="143" spans="1:20" ht="29.25" customHeight="1">
      <c r="A143" s="153" t="s">
        <v>211</v>
      </c>
      <c r="B143" s="154" t="s">
        <v>212</v>
      </c>
      <c r="C143" s="12"/>
      <c r="D143" s="409">
        <v>0</v>
      </c>
      <c r="E143" s="217" t="s">
        <v>110</v>
      </c>
      <c r="F143" s="410">
        <f>J144</f>
        <v>0.4</v>
      </c>
      <c r="G143" s="280" t="str">
        <f>IF(F$143&gt;C$148,H143,"")</f>
        <v/>
      </c>
      <c r="H143" s="246">
        <v>0</v>
      </c>
      <c r="I143" s="61"/>
      <c r="J143" s="84" t="s">
        <v>213</v>
      </c>
      <c r="K143" s="459"/>
      <c r="L143" s="459"/>
      <c r="M143" s="459"/>
      <c r="N143" s="459"/>
      <c r="O143" s="17"/>
      <c r="P143" s="17"/>
    </row>
    <row r="144" spans="1:20" ht="30.75" customHeight="1">
      <c r="A144" s="153" t="s">
        <v>214</v>
      </c>
      <c r="B144" s="154" t="s">
        <v>215</v>
      </c>
      <c r="C144" s="12"/>
      <c r="D144" s="409">
        <f>F143</f>
        <v>0.4</v>
      </c>
      <c r="E144" s="217" t="s">
        <v>61</v>
      </c>
      <c r="F144" s="410">
        <f>D144+J145</f>
        <v>0.6</v>
      </c>
      <c r="G144" s="280" t="str">
        <f>IF(OR(D144=$C$148,AND(D144&lt;$C$148,F144&gt;$C$148)),H144,"")</f>
        <v/>
      </c>
      <c r="H144" s="246">
        <f>J147</f>
        <v>1</v>
      </c>
      <c r="I144" s="61"/>
      <c r="J144" s="206">
        <v>0.4</v>
      </c>
      <c r="K144" s="134" t="s">
        <v>216</v>
      </c>
      <c r="L144" s="459"/>
      <c r="M144" s="459"/>
      <c r="N144" s="459"/>
      <c r="O144" s="17"/>
      <c r="P144" s="17"/>
    </row>
    <row r="145" spans="1:17" ht="30.75" customHeight="1">
      <c r="A145" s="153" t="s">
        <v>217</v>
      </c>
      <c r="B145" s="154" t="s">
        <v>218</v>
      </c>
      <c r="C145" s="12"/>
      <c r="D145" s="409">
        <f>F144</f>
        <v>0.6</v>
      </c>
      <c r="E145" s="217" t="s">
        <v>61</v>
      </c>
      <c r="F145" s="410">
        <f>D145+J145</f>
        <v>0.79999999999999993</v>
      </c>
      <c r="G145" s="280" t="str">
        <f t="shared" ref="G145:G146" si="14">IF(OR(D145=$C$148,AND(D145&lt;$C$148,F145&gt;$C$148)),H145,"")</f>
        <v/>
      </c>
      <c r="H145" s="246">
        <f>H144+J147</f>
        <v>2</v>
      </c>
      <c r="I145" s="61"/>
      <c r="J145" s="206">
        <f>(1-J144)/3</f>
        <v>0.19999999999999998</v>
      </c>
      <c r="K145" s="134" t="s">
        <v>219</v>
      </c>
      <c r="L145" s="459"/>
      <c r="M145" s="459"/>
      <c r="N145" s="459"/>
      <c r="O145" s="17"/>
      <c r="P145" s="17"/>
    </row>
    <row r="146" spans="1:17" ht="12.75" customHeight="1">
      <c r="A146" s="458" t="s">
        <v>220</v>
      </c>
      <c r="B146" s="193" t="s">
        <v>77</v>
      </c>
      <c r="C146" s="129" t="str">
        <f>IF(ISBLANK(C145),"",SUM(C143:C145))</f>
        <v/>
      </c>
      <c r="D146" s="409">
        <f>F145</f>
        <v>0.79999999999999993</v>
      </c>
      <c r="E146" s="217" t="s">
        <v>61</v>
      </c>
      <c r="F146" s="410">
        <f>D146+J145</f>
        <v>0.99999999999999989</v>
      </c>
      <c r="G146" s="280" t="str">
        <f t="shared" si="14"/>
        <v/>
      </c>
      <c r="H146" s="246">
        <f>H145+J147</f>
        <v>3</v>
      </c>
      <c r="I146" s="61"/>
      <c r="J146" s="17">
        <f>H142</f>
        <v>4</v>
      </c>
      <c r="K146" s="459" t="s">
        <v>68</v>
      </c>
      <c r="L146" s="459"/>
      <c r="M146" s="459"/>
      <c r="N146" s="459"/>
      <c r="O146" s="17"/>
      <c r="P146" s="17"/>
    </row>
    <row r="147" spans="1:17" ht="13.5" customHeight="1">
      <c r="A147" s="461" t="s">
        <v>112</v>
      </c>
      <c r="B147" s="237" t="s">
        <v>221</v>
      </c>
      <c r="C147" s="13">
        <f>H5</f>
        <v>0</v>
      </c>
      <c r="D147" s="409">
        <f>F146</f>
        <v>0.99999999999999989</v>
      </c>
      <c r="E147" s="217" t="s">
        <v>70</v>
      </c>
      <c r="F147" s="406" t="s">
        <v>71</v>
      </c>
      <c r="G147" s="280" t="str">
        <f>IF(C148="","",IF(OR(D147=$C$148,D147&lt;$C$148),H147,""))</f>
        <v/>
      </c>
      <c r="H147" s="246">
        <f>H146+J147</f>
        <v>4</v>
      </c>
      <c r="I147" s="61"/>
      <c r="J147" s="17">
        <f>J146/4</f>
        <v>1</v>
      </c>
      <c r="K147" s="459" t="s">
        <v>91</v>
      </c>
      <c r="L147" s="459"/>
      <c r="M147" s="459"/>
      <c r="N147" s="459"/>
      <c r="O147" s="17"/>
      <c r="P147" s="17"/>
    </row>
    <row r="148" spans="1:17" ht="13.5" customHeight="1">
      <c r="A148" s="153" t="s">
        <v>222</v>
      </c>
      <c r="B148" s="156" t="s">
        <v>77</v>
      </c>
      <c r="C148" s="318" t="str">
        <f>IF(COUNT(C146)=0,"",C146/C147)</f>
        <v/>
      </c>
      <c r="D148" s="256" t="s">
        <v>14</v>
      </c>
      <c r="E148" s="50" t="s">
        <v>14</v>
      </c>
      <c r="F148" s="49"/>
      <c r="G148" s="216" t="s">
        <v>14</v>
      </c>
      <c r="H148" s="257" t="s">
        <v>14</v>
      </c>
      <c r="I148" s="61"/>
      <c r="J148" s="17"/>
      <c r="K148" s="17"/>
      <c r="L148" s="17"/>
      <c r="M148" s="17"/>
      <c r="N148" s="459"/>
      <c r="O148" s="17"/>
      <c r="P148" s="17"/>
    </row>
    <row r="149" spans="1:17" ht="13.5" customHeight="1">
      <c r="A149" s="148"/>
      <c r="B149" s="149"/>
      <c r="C149" s="150"/>
      <c r="D149" s="17"/>
      <c r="E149" s="17"/>
      <c r="F149" s="17"/>
      <c r="G149" s="61"/>
      <c r="H149" s="182"/>
      <c r="I149" s="61"/>
      <c r="J149" s="17"/>
      <c r="K149" s="459"/>
      <c r="L149" s="459"/>
      <c r="M149" s="459"/>
      <c r="N149" s="459"/>
      <c r="O149" s="17"/>
      <c r="P149" s="17"/>
    </row>
    <row r="150" spans="1:17" ht="18" customHeight="1">
      <c r="A150" s="42" t="s">
        <v>223</v>
      </c>
      <c r="B150" s="188"/>
      <c r="C150" s="190" t="s">
        <v>51</v>
      </c>
      <c r="D150" s="456">
        <f>SUM(G151:G157)</f>
        <v>0</v>
      </c>
      <c r="E150" s="188"/>
      <c r="F150" s="127"/>
      <c r="G150" s="189" t="s">
        <v>17</v>
      </c>
      <c r="H150" s="204">
        <v>12</v>
      </c>
      <c r="I150" s="61"/>
      <c r="J150" s="84" t="s">
        <v>213</v>
      </c>
      <c r="K150" s="459"/>
      <c r="L150" s="459"/>
      <c r="M150" s="459"/>
      <c r="N150" s="459"/>
      <c r="O150" s="17"/>
      <c r="P150" s="17"/>
      <c r="Q150" s="290" t="s">
        <v>210</v>
      </c>
    </row>
    <row r="151" spans="1:17" ht="25.5" customHeight="1">
      <c r="A151" s="453" t="s">
        <v>224</v>
      </c>
      <c r="B151" s="462" t="s">
        <v>225</v>
      </c>
      <c r="C151" s="15"/>
      <c r="D151" s="409">
        <v>0</v>
      </c>
      <c r="E151" s="217" t="s">
        <v>110</v>
      </c>
      <c r="F151" s="410">
        <f>J152</f>
        <v>2</v>
      </c>
      <c r="G151" s="280" t="str">
        <f>IF(F151&gt;$C$157,H151,"")</f>
        <v/>
      </c>
      <c r="H151" s="246">
        <v>0</v>
      </c>
      <c r="I151" s="346"/>
      <c r="J151" s="157"/>
      <c r="K151" s="134"/>
      <c r="L151" s="459"/>
      <c r="M151" s="459"/>
      <c r="N151" s="459"/>
      <c r="O151" s="17"/>
      <c r="P151" s="17"/>
    </row>
    <row r="152" spans="1:17" ht="13.5" customHeight="1">
      <c r="A152" s="153" t="s">
        <v>226</v>
      </c>
      <c r="B152" s="154" t="s">
        <v>227</v>
      </c>
      <c r="C152" s="15"/>
      <c r="D152" s="409">
        <f>F151</f>
        <v>2</v>
      </c>
      <c r="E152" s="217" t="s">
        <v>61</v>
      </c>
      <c r="F152" s="410">
        <f>D152+J153</f>
        <v>2.5</v>
      </c>
      <c r="G152" s="280" t="str">
        <f>IF(OR(D152=$C$157,AND(D152&lt;$C$157,F152&gt;$C$157)),H152,"")</f>
        <v/>
      </c>
      <c r="H152" s="246">
        <f>H151+J$155</f>
        <v>3</v>
      </c>
      <c r="I152" s="61"/>
      <c r="J152" s="206">
        <v>2</v>
      </c>
      <c r="K152" s="134" t="s">
        <v>228</v>
      </c>
      <c r="L152" s="459"/>
      <c r="M152" s="459"/>
      <c r="N152" s="459"/>
      <c r="O152" s="17"/>
      <c r="P152" s="17"/>
    </row>
    <row r="153" spans="1:17" ht="13.5" customHeight="1">
      <c r="A153" s="153" t="s">
        <v>229</v>
      </c>
      <c r="B153" s="154" t="s">
        <v>230</v>
      </c>
      <c r="C153" s="15"/>
      <c r="D153" s="409">
        <f>F152</f>
        <v>2.5</v>
      </c>
      <c r="E153" s="217" t="s">
        <v>61</v>
      </c>
      <c r="F153" s="410">
        <f>D153+J153</f>
        <v>3</v>
      </c>
      <c r="G153" s="280" t="str">
        <f>IF(OR(D153=$C$157,AND(D153&lt;$C$157,F153&gt;$C$157)),H153,"")</f>
        <v/>
      </c>
      <c r="H153" s="246">
        <f>H152+J$155</f>
        <v>6</v>
      </c>
      <c r="I153" s="61"/>
      <c r="J153" s="206">
        <v>0.5</v>
      </c>
      <c r="K153" s="134" t="s">
        <v>231</v>
      </c>
      <c r="L153" s="459"/>
      <c r="M153" s="459"/>
      <c r="N153" s="459"/>
      <c r="O153" s="17"/>
      <c r="P153" s="17"/>
    </row>
    <row r="154" spans="1:17" ht="13.5" customHeight="1">
      <c r="A154" s="462" t="s">
        <v>232</v>
      </c>
      <c r="B154" s="462" t="s">
        <v>233</v>
      </c>
      <c r="C154" s="12"/>
      <c r="D154" s="409">
        <f>F153</f>
        <v>3</v>
      </c>
      <c r="E154" s="217"/>
      <c r="F154" s="410">
        <f>D154+J153</f>
        <v>3.5</v>
      </c>
      <c r="G154" s="280" t="str">
        <f>IF(OR(D154=$C$157,AND(D154&lt;$C$157,F154&gt;$C$157)),H154,"")</f>
        <v/>
      </c>
      <c r="H154" s="246">
        <f t="shared" ref="H154:H155" si="15">H153+J$155</f>
        <v>9</v>
      </c>
      <c r="I154" s="61"/>
      <c r="J154" s="17">
        <v>12</v>
      </c>
      <c r="K154" s="459" t="s">
        <v>68</v>
      </c>
      <c r="L154" s="459"/>
      <c r="M154" s="459"/>
      <c r="N154" s="459"/>
      <c r="O154" s="17"/>
      <c r="P154" s="17"/>
    </row>
    <row r="155" spans="1:17" ht="13.5" customHeight="1">
      <c r="A155" s="153" t="s">
        <v>234</v>
      </c>
      <c r="B155" s="156" t="s">
        <v>235</v>
      </c>
      <c r="C155" s="152" t="str">
        <f>IF(ISBLANK(C154),"",SUM(C151:C154))</f>
        <v/>
      </c>
      <c r="D155" s="409">
        <f>F154</f>
        <v>3.5</v>
      </c>
      <c r="E155" s="217" t="s">
        <v>70</v>
      </c>
      <c r="F155" s="406" t="s">
        <v>71</v>
      </c>
      <c r="G155" s="280" t="str">
        <f>IF(COUNT(C157)=0,"",IF(OR(D155=$C$157,D155&lt;$C$157),H155,""))</f>
        <v/>
      </c>
      <c r="H155" s="246">
        <f t="shared" si="15"/>
        <v>12</v>
      </c>
      <c r="I155" s="61"/>
      <c r="J155" s="201">
        <v>3</v>
      </c>
      <c r="K155" s="134" t="s">
        <v>236</v>
      </c>
      <c r="L155" s="459"/>
      <c r="M155" s="459"/>
      <c r="N155" s="459"/>
      <c r="O155" s="17"/>
      <c r="P155" s="17"/>
    </row>
    <row r="156" spans="1:17" ht="13.5" customHeight="1">
      <c r="A156" s="153" t="s">
        <v>237</v>
      </c>
      <c r="B156" s="154" t="s">
        <v>221</v>
      </c>
      <c r="C156" s="152">
        <f>H5</f>
        <v>0</v>
      </c>
      <c r="D156" s="311"/>
      <c r="E156" s="50"/>
      <c r="F156" s="49"/>
      <c r="G156" s="344"/>
      <c r="H156" s="345"/>
      <c r="I156" s="61"/>
      <c r="J156" s="347"/>
      <c r="K156" s="459"/>
      <c r="L156" s="22"/>
      <c r="M156" s="459"/>
      <c r="N156" s="459"/>
      <c r="O156" s="17"/>
      <c r="P156" s="17"/>
    </row>
    <row r="157" spans="1:17" ht="13.5" customHeight="1">
      <c r="A157" s="458" t="s">
        <v>238</v>
      </c>
      <c r="B157" s="193" t="s">
        <v>77</v>
      </c>
      <c r="C157" s="207" t="str">
        <f>IF(OR(COUNT(C155)=0,COUNT(C156)=0),"",C155/C156)</f>
        <v/>
      </c>
      <c r="D157" s="343"/>
      <c r="E157" s="95"/>
      <c r="F157" s="96"/>
      <c r="G157" s="97"/>
      <c r="H157" s="23"/>
      <c r="I157" s="61"/>
      <c r="J157" s="17"/>
      <c r="K157" s="17"/>
      <c r="L157" s="459"/>
      <c r="M157" s="459"/>
      <c r="N157" s="459"/>
      <c r="O157" s="17"/>
      <c r="P157" s="17"/>
    </row>
    <row r="158" spans="1:17" ht="13.5" customHeight="1">
      <c r="A158" s="147"/>
      <c r="B158" s="147"/>
      <c r="C158" s="147"/>
      <c r="D158" s="147"/>
      <c r="E158" s="147"/>
      <c r="F158" s="147"/>
      <c r="G158" s="147"/>
      <c r="H158" s="177"/>
      <c r="I158" s="61"/>
      <c r="J158" s="17"/>
      <c r="K158" s="17"/>
      <c r="L158" s="17"/>
      <c r="M158" s="17"/>
      <c r="N158" s="459"/>
      <c r="O158" s="17"/>
      <c r="P158" s="17"/>
    </row>
    <row r="159" spans="1:17" s="7" customFormat="1" ht="27.95" customHeight="1">
      <c r="A159" s="42" t="s">
        <v>239</v>
      </c>
      <c r="B159" s="188"/>
      <c r="C159" s="190" t="s">
        <v>51</v>
      </c>
      <c r="D159" s="456">
        <f>SUM(G160:G165)</f>
        <v>0</v>
      </c>
      <c r="E159" s="188"/>
      <c r="F159" s="127"/>
      <c r="G159" s="189" t="s">
        <v>17</v>
      </c>
      <c r="H159" s="204">
        <v>5</v>
      </c>
      <c r="I159" s="192"/>
      <c r="J159" s="19"/>
      <c r="K159" s="19"/>
      <c r="L159" s="19"/>
      <c r="M159" s="19"/>
      <c r="N159" s="19"/>
      <c r="O159" s="19"/>
      <c r="P159" s="17"/>
      <c r="Q159" s="291"/>
    </row>
    <row r="160" spans="1:17" ht="39" customHeight="1">
      <c r="A160" s="153" t="s">
        <v>240</v>
      </c>
      <c r="B160" s="154" t="s">
        <v>241</v>
      </c>
      <c r="C160" s="14"/>
      <c r="D160" s="409">
        <v>0</v>
      </c>
      <c r="E160" s="217" t="s">
        <v>98</v>
      </c>
      <c r="F160" s="410">
        <f>J161</f>
        <v>0.5</v>
      </c>
      <c r="G160" s="141" t="str">
        <f>IF(F160&gt;$C$164,H160,"")</f>
        <v/>
      </c>
      <c r="H160" s="246">
        <v>0</v>
      </c>
      <c r="I160" s="192"/>
      <c r="J160" s="26">
        <v>1</v>
      </c>
      <c r="K160" s="459" t="s">
        <v>242</v>
      </c>
      <c r="L160" s="22"/>
      <c r="M160" s="22"/>
      <c r="N160" s="19"/>
      <c r="O160" s="19"/>
      <c r="P160" s="17"/>
      <c r="Q160" s="290" t="s">
        <v>243</v>
      </c>
    </row>
    <row r="161" spans="1:17" ht="12.75" customHeight="1">
      <c r="A161" s="153" t="s">
        <v>244</v>
      </c>
      <c r="B161" s="154" t="s">
        <v>245</v>
      </c>
      <c r="C161" s="15"/>
      <c r="D161" s="409">
        <f>F160</f>
        <v>0.5</v>
      </c>
      <c r="E161" s="217" t="s">
        <v>61</v>
      </c>
      <c r="F161" s="410">
        <f>D161+$J$162</f>
        <v>0.6</v>
      </c>
      <c r="G161" s="141" t="str">
        <f>IF(OR(D161=$C$164,AND(D161&lt;$C$164, F161&gt;$C$164)),H161,"")</f>
        <v/>
      </c>
      <c r="H161" s="246">
        <f>H160+J$164</f>
        <v>1</v>
      </c>
      <c r="I161" s="59"/>
      <c r="J161" s="27">
        <f>0.5*J160</f>
        <v>0.5</v>
      </c>
      <c r="K161" s="459" t="s">
        <v>89</v>
      </c>
      <c r="L161" s="22"/>
      <c r="M161" s="22"/>
      <c r="N161" s="19"/>
      <c r="O161" s="19"/>
      <c r="P161" s="17"/>
    </row>
    <row r="162" spans="1:17" ht="12.75" customHeight="1">
      <c r="A162" s="495" t="s">
        <v>246</v>
      </c>
      <c r="B162" s="495"/>
      <c r="C162" s="281" t="str">
        <f>IF(ISBLANK(C161),"",SUM(C160:C161))</f>
        <v/>
      </c>
      <c r="D162" s="409">
        <f t="shared" ref="D162:D165" si="16">F161</f>
        <v>0.6</v>
      </c>
      <c r="E162" s="217" t="s">
        <v>61</v>
      </c>
      <c r="F162" s="410">
        <f>D162+$J$162</f>
        <v>0.7</v>
      </c>
      <c r="G162" s="141" t="str">
        <f t="shared" ref="G162:G164" si="17">IF(OR(D162=$C$164,AND(D162&lt;$C$164, F162&gt;$C$164)),H162,"")</f>
        <v/>
      </c>
      <c r="H162" s="246">
        <f>H161+J$164</f>
        <v>2</v>
      </c>
      <c r="I162" s="59"/>
      <c r="J162" s="27">
        <f>(1-J161)/5</f>
        <v>0.1</v>
      </c>
      <c r="K162" s="459" t="s">
        <v>90</v>
      </c>
      <c r="L162" s="22"/>
      <c r="M162" s="22"/>
      <c r="N162" s="19"/>
      <c r="O162" s="19"/>
      <c r="P162" s="17"/>
    </row>
    <row r="163" spans="1:17" ht="12.75" customHeight="1">
      <c r="A163" s="461" t="s">
        <v>104</v>
      </c>
      <c r="B163" s="237" t="s">
        <v>221</v>
      </c>
      <c r="C163" s="282">
        <f>H5</f>
        <v>0</v>
      </c>
      <c r="D163" s="409">
        <f t="shared" si="16"/>
        <v>0.7</v>
      </c>
      <c r="E163" s="217" t="s">
        <v>61</v>
      </c>
      <c r="F163" s="410">
        <f>D163+$J$162</f>
        <v>0.79999999999999993</v>
      </c>
      <c r="G163" s="141" t="str">
        <f t="shared" si="17"/>
        <v/>
      </c>
      <c r="H163" s="246">
        <f>H162+J$164</f>
        <v>3</v>
      </c>
      <c r="I163" s="59"/>
      <c r="J163" s="23">
        <f>H159</f>
        <v>5</v>
      </c>
      <c r="K163" s="459" t="s">
        <v>68</v>
      </c>
      <c r="L163" s="22"/>
      <c r="M163" s="22"/>
      <c r="N163" s="19"/>
      <c r="O163" s="19"/>
      <c r="P163" s="17"/>
    </row>
    <row r="164" spans="1:17" ht="28.5" customHeight="1">
      <c r="A164" s="153" t="s">
        <v>247</v>
      </c>
      <c r="B164" s="156" t="s">
        <v>248</v>
      </c>
      <c r="C164" s="265" t="str">
        <f>IF(OR(COUNT(C162)=0,COUNT(C163)=0),"",C162/C163)</f>
        <v/>
      </c>
      <c r="D164" s="409">
        <f t="shared" si="16"/>
        <v>0.79999999999999993</v>
      </c>
      <c r="E164" s="217" t="s">
        <v>61</v>
      </c>
      <c r="F164" s="410">
        <f>D164+$J$162</f>
        <v>0.89999999999999991</v>
      </c>
      <c r="G164" s="141" t="str">
        <f t="shared" si="17"/>
        <v/>
      </c>
      <c r="H164" s="246">
        <f>H163+J$164</f>
        <v>4</v>
      </c>
      <c r="I164" s="59"/>
      <c r="J164" s="23">
        <f>J163/5</f>
        <v>1</v>
      </c>
      <c r="K164" s="459" t="s">
        <v>91</v>
      </c>
      <c r="L164" s="22"/>
      <c r="M164" s="22"/>
      <c r="N164" s="19"/>
      <c r="O164" s="19"/>
      <c r="P164" s="17"/>
    </row>
    <row r="165" spans="1:17" ht="14.1" customHeight="1">
      <c r="A165" s="508" t="s">
        <v>14</v>
      </c>
      <c r="B165" s="508"/>
      <c r="C165" s="258"/>
      <c r="D165" s="409">
        <f t="shared" si="16"/>
        <v>0.89999999999999991</v>
      </c>
      <c r="E165" s="217" t="s">
        <v>98</v>
      </c>
      <c r="F165" s="410">
        <f>D165+$J$162</f>
        <v>0.99999999999999989</v>
      </c>
      <c r="G165" s="141" t="str">
        <f>IF(C164="","",IF(OR(D165=$C$164,D165&lt;$C$164),H165,""))</f>
        <v/>
      </c>
      <c r="H165" s="246">
        <f>H164+J$164</f>
        <v>5</v>
      </c>
      <c r="I165" s="59"/>
      <c r="J165" s="63"/>
      <c r="K165" s="459"/>
      <c r="L165" s="22"/>
      <c r="M165" s="459"/>
      <c r="N165" s="19"/>
      <c r="O165" s="19"/>
      <c r="P165" s="17"/>
    </row>
    <row r="166" spans="1:17" ht="19.5" customHeight="1" thickBot="1">
      <c r="A166" s="147"/>
      <c r="B166" s="147"/>
      <c r="C166" s="61"/>
      <c r="D166" s="131"/>
      <c r="E166" s="9"/>
      <c r="F166" s="96"/>
      <c r="G166" s="52"/>
      <c r="H166" s="181"/>
      <c r="I166" s="59"/>
      <c r="J166" s="459"/>
      <c r="K166" s="459"/>
      <c r="L166" s="459"/>
      <c r="M166" s="459"/>
      <c r="N166" s="19"/>
      <c r="O166" s="19"/>
      <c r="P166" s="17"/>
    </row>
    <row r="167" spans="1:17" ht="37.5" customHeight="1">
      <c r="A167" s="133" t="s">
        <v>249</v>
      </c>
      <c r="B167" s="82"/>
      <c r="C167" s="77" t="s">
        <v>41</v>
      </c>
      <c r="D167" s="500">
        <f>SUM(D169+D174+D182)</f>
        <v>0</v>
      </c>
      <c r="E167" s="501"/>
      <c r="F167" s="502"/>
      <c r="G167" s="77" t="s">
        <v>17</v>
      </c>
      <c r="H167" s="241">
        <f>SUM(H169,H174,H182)</f>
        <v>17</v>
      </c>
      <c r="I167" s="59"/>
      <c r="J167" s="459"/>
      <c r="K167" s="459"/>
      <c r="L167" s="459"/>
      <c r="M167" s="459"/>
      <c r="N167" s="19"/>
      <c r="O167" s="19"/>
      <c r="P167" s="17"/>
    </row>
    <row r="168" spans="1:17" ht="66.75" customHeight="1" thickTop="1">
      <c r="A168" s="302" t="s">
        <v>43</v>
      </c>
      <c r="B168" s="302" t="s">
        <v>44</v>
      </c>
      <c r="C168" s="302" t="s">
        <v>45</v>
      </c>
      <c r="D168" s="494" t="s">
        <v>168</v>
      </c>
      <c r="E168" s="494"/>
      <c r="F168" s="494"/>
      <c r="G168" s="302" t="s">
        <v>47</v>
      </c>
      <c r="H168" s="179" t="s">
        <v>48</v>
      </c>
      <c r="I168" s="59"/>
      <c r="J168" s="459"/>
      <c r="K168" s="459"/>
      <c r="L168" s="459"/>
      <c r="M168" s="459"/>
      <c r="N168" s="19"/>
      <c r="O168" s="19"/>
      <c r="P168" s="17"/>
    </row>
    <row r="169" spans="1:17" ht="14.1" customHeight="1">
      <c r="A169" s="42" t="s">
        <v>250</v>
      </c>
      <c r="B169" s="188"/>
      <c r="C169" s="190" t="s">
        <v>51</v>
      </c>
      <c r="D169" s="331">
        <f>SUM(C172)</f>
        <v>0</v>
      </c>
      <c r="E169" s="188"/>
      <c r="F169" s="127"/>
      <c r="G169" s="189" t="s">
        <v>17</v>
      </c>
      <c r="H169" s="204">
        <v>2</v>
      </c>
      <c r="I169" s="59"/>
      <c r="J169" s="134" t="s">
        <v>251</v>
      </c>
      <c r="K169" s="459"/>
      <c r="L169" s="459"/>
      <c r="M169" s="459"/>
      <c r="N169" s="19"/>
      <c r="O169" s="19"/>
      <c r="P169" s="17"/>
    </row>
    <row r="170" spans="1:17" ht="23.25" customHeight="1">
      <c r="A170" s="461" t="s">
        <v>252</v>
      </c>
      <c r="B170" s="458" t="s">
        <v>253</v>
      </c>
      <c r="C170" s="211"/>
      <c r="D170" s="131"/>
      <c r="E170" s="95"/>
      <c r="F170" s="96"/>
      <c r="G170" s="52"/>
      <c r="H170" s="178"/>
      <c r="I170" s="59"/>
      <c r="J170" s="63"/>
      <c r="K170" s="459"/>
      <c r="L170" s="22"/>
      <c r="M170" s="459"/>
      <c r="N170" s="19"/>
      <c r="O170" s="19"/>
      <c r="P170" s="17"/>
    </row>
    <row r="171" spans="1:17" ht="14.1" customHeight="1">
      <c r="A171" s="266"/>
      <c r="B171" s="458" t="s">
        <v>254</v>
      </c>
      <c r="C171" s="12"/>
      <c r="D171" s="131"/>
      <c r="E171" s="95"/>
      <c r="F171" s="96"/>
      <c r="G171" s="52"/>
      <c r="H171" s="178"/>
      <c r="I171" s="59"/>
      <c r="J171" s="459"/>
      <c r="K171" s="459"/>
      <c r="L171" s="459"/>
      <c r="M171" s="459"/>
      <c r="N171" s="19"/>
      <c r="O171" s="19"/>
      <c r="P171" s="17"/>
    </row>
    <row r="172" spans="1:17" ht="14.1" customHeight="1">
      <c r="A172" s="267"/>
      <c r="B172" s="259" t="s">
        <v>255</v>
      </c>
      <c r="C172" s="260" t="str">
        <f>IF(OR(ISBLANK(C170),(ISBLANK(C171))),"",IF(C171&gt;=C170,H169,"0"))</f>
        <v/>
      </c>
      <c r="D172" s="264"/>
      <c r="E172" s="95"/>
      <c r="F172" s="96"/>
      <c r="G172" s="52"/>
      <c r="H172" s="178"/>
      <c r="I172" s="59"/>
      <c r="J172" s="134" t="s">
        <v>256</v>
      </c>
      <c r="K172" s="459"/>
      <c r="L172" s="459"/>
      <c r="M172" s="459"/>
      <c r="N172" s="19"/>
      <c r="O172" s="19"/>
      <c r="P172" s="17"/>
    </row>
    <row r="173" spans="1:17" s="17" customFormat="1" ht="14.1" customHeight="1">
      <c r="A173" s="223"/>
      <c r="B173" s="261"/>
      <c r="C173" s="262"/>
      <c r="D173" s="263"/>
      <c r="E173" s="95"/>
      <c r="F173" s="96"/>
      <c r="G173" s="52"/>
      <c r="H173" s="178"/>
      <c r="I173" s="59"/>
      <c r="J173" s="459"/>
      <c r="K173" s="459"/>
      <c r="L173" s="459"/>
      <c r="M173" s="459"/>
      <c r="N173" s="19"/>
      <c r="O173" s="19"/>
      <c r="Q173" s="299"/>
    </row>
    <row r="174" spans="1:17" ht="69" customHeight="1">
      <c r="A174" s="276" t="s">
        <v>257</v>
      </c>
      <c r="B174" s="188" t="s">
        <v>258</v>
      </c>
      <c r="C174" s="190" t="s">
        <v>51</v>
      </c>
      <c r="D174" s="456">
        <f>SUM(G175:G180)</f>
        <v>0</v>
      </c>
      <c r="E174" s="188"/>
      <c r="F174" s="127"/>
      <c r="G174" s="189" t="s">
        <v>17</v>
      </c>
      <c r="H174" s="204">
        <v>5</v>
      </c>
      <c r="I174" s="59"/>
      <c r="J174" s="459" t="s">
        <v>259</v>
      </c>
      <c r="K174" s="459"/>
      <c r="L174" s="459"/>
      <c r="M174" s="459"/>
      <c r="N174" s="19"/>
      <c r="O174" s="19"/>
      <c r="P174" s="17"/>
    </row>
    <row r="175" spans="1:17" ht="20.25" customHeight="1">
      <c r="A175" s="458" t="s">
        <v>260</v>
      </c>
      <c r="B175" s="458" t="s">
        <v>261</v>
      </c>
      <c r="C175" s="162"/>
      <c r="D175" s="409" t="s">
        <v>262</v>
      </c>
      <c r="E175" s="217" t="s">
        <v>98</v>
      </c>
      <c r="F175" s="410">
        <v>0</v>
      </c>
      <c r="G175" s="141" t="str">
        <f>IF(C177=0,H175,"")</f>
        <v/>
      </c>
      <c r="H175" s="246">
        <v>0</v>
      </c>
      <c r="I175" s="59"/>
      <c r="J175" s="214">
        <v>1</v>
      </c>
      <c r="K175" s="134" t="s">
        <v>263</v>
      </c>
      <c r="L175" s="459"/>
      <c r="M175" s="459"/>
      <c r="N175" s="19"/>
      <c r="O175" s="19"/>
      <c r="P175" s="17"/>
    </row>
    <row r="176" spans="1:17" ht="33" customHeight="1">
      <c r="A176" s="458" t="s">
        <v>264</v>
      </c>
      <c r="B176" s="461" t="s">
        <v>265</v>
      </c>
      <c r="C176" s="162"/>
      <c r="D176" s="409">
        <f>F175</f>
        <v>0</v>
      </c>
      <c r="E176" s="217" t="s">
        <v>61</v>
      </c>
      <c r="F176" s="410">
        <f>D176+J176</f>
        <v>0.2</v>
      </c>
      <c r="G176" s="141" t="str">
        <f>IF(AND(F176&gt;$C$177,D176&lt;C177),H176,"")</f>
        <v/>
      </c>
      <c r="H176" s="246">
        <f>H175+$J$178</f>
        <v>1</v>
      </c>
      <c r="I176" s="59"/>
      <c r="J176" s="214">
        <f>J175/5</f>
        <v>0.2</v>
      </c>
      <c r="K176" s="134" t="s">
        <v>266</v>
      </c>
      <c r="L176" s="459"/>
      <c r="M176" s="459"/>
      <c r="N176" s="19"/>
      <c r="O176" s="19"/>
      <c r="P176" s="17"/>
    </row>
    <row r="177" spans="1:20" ht="25.5" customHeight="1">
      <c r="A177" s="458" t="s">
        <v>267</v>
      </c>
      <c r="B177" s="193" t="s">
        <v>268</v>
      </c>
      <c r="C177" s="208" t="str">
        <f>IF(OR(ISBLANK(C175),ISBLANK(C176)),"",C175/C176)</f>
        <v/>
      </c>
      <c r="D177" s="409">
        <f>F176</f>
        <v>0.2</v>
      </c>
      <c r="E177" s="217" t="s">
        <v>61</v>
      </c>
      <c r="F177" s="410">
        <f>D177+J176</f>
        <v>0.4</v>
      </c>
      <c r="G177" s="141" t="str">
        <f>IF(OR(D177=$C$177,AND(D177&lt;$C$177, F177&gt;$C$177)),H177,"")</f>
        <v/>
      </c>
      <c r="H177" s="246">
        <f t="shared" ref="H177:H180" si="18">H176+$J$178</f>
        <v>2</v>
      </c>
      <c r="I177" s="59"/>
      <c r="J177" s="215">
        <f>H174</f>
        <v>5</v>
      </c>
      <c r="K177" s="459" t="s">
        <v>68</v>
      </c>
      <c r="L177" s="459"/>
      <c r="M177" s="459"/>
      <c r="N177" s="19"/>
      <c r="O177" s="19"/>
      <c r="P177" s="17"/>
    </row>
    <row r="178" spans="1:20" ht="25.5" customHeight="1">
      <c r="A178" s="85"/>
      <c r="B178" s="194"/>
      <c r="C178" s="212"/>
      <c r="D178" s="409">
        <f>F177</f>
        <v>0.4</v>
      </c>
      <c r="E178" s="217" t="s">
        <v>61</v>
      </c>
      <c r="F178" s="410">
        <f>D178+J176</f>
        <v>0.60000000000000009</v>
      </c>
      <c r="G178" s="141" t="str">
        <f t="shared" ref="G178:G179" si="19">IF(OR(D178=$C$177,AND(D178&lt;$C$177, F178&gt;$C$177)),H178,"")</f>
        <v/>
      </c>
      <c r="H178" s="246">
        <f t="shared" si="18"/>
        <v>3</v>
      </c>
      <c r="I178" s="59"/>
      <c r="J178" s="459">
        <f>J177/5</f>
        <v>1</v>
      </c>
      <c r="K178" s="459" t="s">
        <v>91</v>
      </c>
      <c r="L178" s="459"/>
      <c r="M178" s="459"/>
      <c r="N178" s="19"/>
      <c r="O178" s="19"/>
      <c r="P178" s="17"/>
    </row>
    <row r="179" spans="1:20" ht="25.5" customHeight="1">
      <c r="A179" s="85"/>
      <c r="B179" s="194"/>
      <c r="C179" s="192"/>
      <c r="D179" s="409">
        <f t="shared" ref="D179:D180" si="20">F178</f>
        <v>0.60000000000000009</v>
      </c>
      <c r="E179" s="217" t="s">
        <v>61</v>
      </c>
      <c r="F179" s="410">
        <f>D179+J176</f>
        <v>0.8</v>
      </c>
      <c r="G179" s="141" t="str">
        <f t="shared" si="19"/>
        <v/>
      </c>
      <c r="H179" s="246">
        <f t="shared" si="18"/>
        <v>4</v>
      </c>
      <c r="I179" s="59"/>
      <c r="J179" s="63"/>
      <c r="K179" s="459"/>
      <c r="L179" s="22"/>
      <c r="M179" s="459"/>
      <c r="N179" s="19"/>
      <c r="O179" s="19"/>
      <c r="P179" s="17"/>
    </row>
    <row r="180" spans="1:20" ht="25.5" customHeight="1">
      <c r="A180" s="85"/>
      <c r="B180" s="194"/>
      <c r="C180" s="192"/>
      <c r="D180" s="409">
        <f t="shared" si="20"/>
        <v>0.8</v>
      </c>
      <c r="E180" s="217" t="s">
        <v>98</v>
      </c>
      <c r="F180" s="410">
        <f>D180+J176</f>
        <v>1</v>
      </c>
      <c r="G180" s="141" t="str">
        <f>IF(OR(D180=$C$177,AND(D180&lt;$C$177, F180&gt;=$C$177)),H180,"")</f>
        <v/>
      </c>
      <c r="H180" s="246">
        <f t="shared" si="18"/>
        <v>5</v>
      </c>
      <c r="I180" s="59"/>
      <c r="J180" s="459"/>
      <c r="K180" s="459"/>
      <c r="L180" s="459"/>
      <c r="M180" s="459"/>
      <c r="N180" s="19"/>
      <c r="O180" s="19"/>
      <c r="P180" s="17"/>
    </row>
    <row r="181" spans="1:20" s="17" customFormat="1" ht="14.1" customHeight="1">
      <c r="A181" s="220"/>
      <c r="B181" s="223"/>
      <c r="C181" s="213"/>
      <c r="D181" s="131"/>
      <c r="E181" s="95"/>
      <c r="F181" s="96"/>
      <c r="G181" s="52"/>
      <c r="H181" s="178"/>
      <c r="I181" s="59"/>
      <c r="J181" s="459"/>
      <c r="K181" s="459"/>
      <c r="L181" s="459"/>
      <c r="M181" s="459"/>
      <c r="N181" s="19"/>
      <c r="O181" s="19"/>
      <c r="Q181" s="299"/>
    </row>
    <row r="182" spans="1:20" ht="31.5" customHeight="1">
      <c r="A182" s="42" t="s">
        <v>269</v>
      </c>
      <c r="B182" s="188"/>
      <c r="C182" s="190" t="s">
        <v>51</v>
      </c>
      <c r="D182" s="456">
        <f>SUM(G183:G189)</f>
        <v>0</v>
      </c>
      <c r="E182" s="188"/>
      <c r="F182" s="127"/>
      <c r="G182" s="189" t="s">
        <v>17</v>
      </c>
      <c r="H182" s="204">
        <v>10</v>
      </c>
      <c r="I182" s="363" t="s">
        <v>14</v>
      </c>
      <c r="J182" s="63"/>
      <c r="K182" s="459"/>
      <c r="L182" s="22"/>
      <c r="M182" s="459"/>
      <c r="N182" s="19"/>
      <c r="O182" s="19"/>
      <c r="P182" s="17"/>
      <c r="Q182" s="290" t="s">
        <v>270</v>
      </c>
    </row>
    <row r="183" spans="1:20" ht="30" customHeight="1">
      <c r="A183" s="461" t="s">
        <v>271</v>
      </c>
      <c r="B183" s="461" t="s">
        <v>272</v>
      </c>
      <c r="C183" s="224"/>
      <c r="D183" s="409">
        <v>0</v>
      </c>
      <c r="E183" s="217" t="s">
        <v>98</v>
      </c>
      <c r="F183" s="410">
        <f>J186</f>
        <v>0.1</v>
      </c>
      <c r="G183" s="280" t="str">
        <f>IF(F183&gt;$C$187,H183,"")</f>
        <v/>
      </c>
      <c r="H183" s="246">
        <f>H184+$J$188</f>
        <v>10</v>
      </c>
      <c r="I183" s="59"/>
      <c r="J183" s="134" t="s">
        <v>273</v>
      </c>
      <c r="K183" s="459"/>
      <c r="L183" s="459"/>
      <c r="M183" s="459"/>
      <c r="N183" s="19"/>
      <c r="O183" s="19"/>
      <c r="P183" s="17"/>
    </row>
    <row r="184" spans="1:20" ht="30" customHeight="1">
      <c r="A184" s="461" t="s">
        <v>274</v>
      </c>
      <c r="B184" s="461" t="s">
        <v>275</v>
      </c>
      <c r="C184" s="224"/>
      <c r="D184" s="409">
        <f>F183</f>
        <v>0.1</v>
      </c>
      <c r="E184" s="217" t="s">
        <v>61</v>
      </c>
      <c r="F184" s="410">
        <f>D184+J186</f>
        <v>0.2</v>
      </c>
      <c r="G184" s="280" t="str">
        <f>IF(OR(D184=$C$187,AND(D184&lt;$C$187, F184&gt;$C$187)),H184,"")</f>
        <v/>
      </c>
      <c r="H184" s="246">
        <f>H186+$J$188</f>
        <v>8</v>
      </c>
      <c r="I184" s="59"/>
      <c r="J184" s="26">
        <v>0.5</v>
      </c>
      <c r="K184" s="134" t="s">
        <v>276</v>
      </c>
      <c r="L184" s="134" t="s">
        <v>277</v>
      </c>
      <c r="M184" s="459"/>
      <c r="N184" s="19"/>
      <c r="O184" s="19"/>
      <c r="P184" s="17"/>
    </row>
    <row r="185" spans="1:20" ht="30" customHeight="1">
      <c r="A185" s="461" t="s">
        <v>278</v>
      </c>
      <c r="B185" s="237" t="s">
        <v>279</v>
      </c>
      <c r="C185" s="278" t="str">
        <f>IF(OR(ISBLANK(C183),ISBLANK(C184)),"",SUM(C183:C184))</f>
        <v/>
      </c>
      <c r="D185" s="409"/>
      <c r="E185" s="217"/>
      <c r="F185" s="410"/>
      <c r="G185" s="280"/>
      <c r="H185" s="246"/>
      <c r="I185" s="59"/>
      <c r="J185" s="26"/>
      <c r="K185" s="134"/>
      <c r="L185" s="134"/>
      <c r="M185" s="459"/>
      <c r="N185" s="19"/>
      <c r="O185" s="19"/>
      <c r="P185" s="17"/>
    </row>
    <row r="186" spans="1:20" ht="14.1" customHeight="1">
      <c r="A186" s="461" t="s">
        <v>280</v>
      </c>
      <c r="B186" s="458" t="s">
        <v>281</v>
      </c>
      <c r="C186" s="224"/>
      <c r="D186" s="409">
        <f>F184</f>
        <v>0.2</v>
      </c>
      <c r="E186" s="217" t="s">
        <v>61</v>
      </c>
      <c r="F186" s="410">
        <f>D186+J186</f>
        <v>0.30000000000000004</v>
      </c>
      <c r="G186" s="280" t="str">
        <f t="shared" ref="G186:G188" si="21">IF(OR(D186=$C$187,AND(D186&lt;$C$187, F186&gt;$C$187)),H186,"")</f>
        <v/>
      </c>
      <c r="H186" s="246">
        <f>H187+$J$188</f>
        <v>6</v>
      </c>
      <c r="I186" s="59"/>
      <c r="J186" s="27">
        <f>J184/5</f>
        <v>0.1</v>
      </c>
      <c r="K186" s="134" t="s">
        <v>282</v>
      </c>
      <c r="L186" s="134"/>
      <c r="M186" s="459"/>
      <c r="N186" s="19"/>
      <c r="O186" s="19"/>
      <c r="P186" s="17"/>
    </row>
    <row r="187" spans="1:20" ht="14.1" customHeight="1">
      <c r="A187" s="461" t="s">
        <v>283</v>
      </c>
      <c r="B187" s="193" t="s">
        <v>279</v>
      </c>
      <c r="C187" s="222" t="str">
        <f>IF(ISBLANK(C186),"",C185/C186)</f>
        <v/>
      </c>
      <c r="D187" s="409">
        <f t="shared" ref="D187:D189" si="22">F186</f>
        <v>0.30000000000000004</v>
      </c>
      <c r="E187" s="217" t="s">
        <v>61</v>
      </c>
      <c r="F187" s="410">
        <f>D187+J186</f>
        <v>0.4</v>
      </c>
      <c r="G187" s="280" t="str">
        <f t="shared" si="21"/>
        <v/>
      </c>
      <c r="H187" s="246">
        <f>H188+$J$188</f>
        <v>4</v>
      </c>
      <c r="I187" s="59"/>
      <c r="J187" s="23">
        <f>H182</f>
        <v>10</v>
      </c>
      <c r="K187" s="134" t="s">
        <v>284</v>
      </c>
      <c r="L187" s="459"/>
      <c r="M187" s="459"/>
      <c r="N187" s="19"/>
      <c r="O187" s="19"/>
      <c r="P187" s="17"/>
    </row>
    <row r="188" spans="1:20" ht="14.1" customHeight="1">
      <c r="A188" s="142" t="s">
        <v>14</v>
      </c>
      <c r="B188" s="161"/>
      <c r="C188" s="61"/>
      <c r="D188" s="409">
        <f t="shared" si="22"/>
        <v>0.4</v>
      </c>
      <c r="E188" s="217" t="s">
        <v>61</v>
      </c>
      <c r="F188" s="410">
        <f>D188+J186</f>
        <v>0.5</v>
      </c>
      <c r="G188" s="280" t="str">
        <f t="shared" si="21"/>
        <v/>
      </c>
      <c r="H188" s="246">
        <f>H189+$J$188</f>
        <v>2</v>
      </c>
      <c r="I188" s="59"/>
      <c r="J188" s="23">
        <f>J187/5</f>
        <v>2</v>
      </c>
      <c r="K188" s="134" t="s">
        <v>285</v>
      </c>
      <c r="L188" s="459"/>
      <c r="M188" s="459"/>
      <c r="N188" s="19"/>
      <c r="O188" s="19"/>
      <c r="P188" s="17"/>
    </row>
    <row r="189" spans="1:20" ht="14.1" customHeight="1">
      <c r="A189" s="72"/>
      <c r="B189" s="17"/>
      <c r="C189" s="61"/>
      <c r="D189" s="409">
        <f t="shared" si="22"/>
        <v>0.5</v>
      </c>
      <c r="E189" s="217" t="s">
        <v>70</v>
      </c>
      <c r="F189" s="406" t="s">
        <v>71</v>
      </c>
      <c r="G189" s="280" t="str">
        <f>IF(C187="","",IF(OR(D189=$C$187,D189&lt;$C$187),H189,""))</f>
        <v/>
      </c>
      <c r="H189" s="246">
        <v>0</v>
      </c>
      <c r="I189" s="59"/>
      <c r="J189" s="59"/>
      <c r="K189" s="59"/>
      <c r="L189" s="59"/>
      <c r="M189" s="59"/>
      <c r="N189" s="19"/>
      <c r="O189" s="19"/>
      <c r="P189" s="17"/>
    </row>
    <row r="190" spans="1:20" s="7" customFormat="1" ht="19.5" customHeight="1" thickBot="1">
      <c r="A190" s="167"/>
      <c r="B190" s="167"/>
      <c r="C190" s="167"/>
      <c r="D190" s="85"/>
      <c r="E190" s="19"/>
      <c r="F190" s="85"/>
      <c r="G190" s="19"/>
      <c r="H190" s="180"/>
      <c r="I190" s="28"/>
      <c r="J190" s="226"/>
      <c r="K190" s="28"/>
      <c r="L190" s="28"/>
      <c r="M190" s="20"/>
      <c r="N190" s="17"/>
      <c r="O190" s="17"/>
      <c r="P190" s="17"/>
      <c r="Q190" s="291"/>
    </row>
    <row r="191" spans="1:20" ht="32.25" customHeight="1" thickTop="1" thickBot="1">
      <c r="A191" s="133" t="s">
        <v>286</v>
      </c>
      <c r="B191" s="82"/>
      <c r="C191" s="81" t="s">
        <v>41</v>
      </c>
      <c r="D191" s="500">
        <f>SUM(D193,D225,D234,D239)</f>
        <v>0</v>
      </c>
      <c r="E191" s="501"/>
      <c r="F191" s="502"/>
      <c r="G191" s="77" t="s">
        <v>17</v>
      </c>
      <c r="H191" s="241">
        <f>H193+H225+H234+H239</f>
        <v>25</v>
      </c>
      <c r="I191" s="57"/>
      <c r="J191" s="72"/>
      <c r="K191" s="17"/>
      <c r="L191" s="17"/>
      <c r="M191" s="17"/>
      <c r="N191" s="17"/>
      <c r="O191" s="17"/>
      <c r="P191" s="17"/>
      <c r="Q191" s="291"/>
      <c r="R191" s="7"/>
      <c r="S191" s="7"/>
      <c r="T191" s="7"/>
    </row>
    <row r="192" spans="1:20" ht="9" customHeight="1" thickTop="1">
      <c r="A192" s="76"/>
      <c r="B192" s="532"/>
      <c r="C192" s="532"/>
      <c r="D192" s="532"/>
      <c r="E192" s="451"/>
      <c r="F192" s="451"/>
      <c r="G192" s="104"/>
      <c r="H192" s="176"/>
      <c r="I192" s="62"/>
      <c r="J192" s="17"/>
      <c r="K192" s="17"/>
      <c r="L192" s="17"/>
      <c r="M192" s="17"/>
      <c r="N192" s="17"/>
      <c r="O192" s="17"/>
      <c r="P192" s="17"/>
    </row>
    <row r="193" spans="1:20" s="7" customFormat="1" ht="27.95" customHeight="1">
      <c r="A193" s="42" t="s">
        <v>287</v>
      </c>
      <c r="B193" s="188"/>
      <c r="C193" s="190" t="s">
        <v>51</v>
      </c>
      <c r="D193" s="456">
        <f>SUM(G221:G223)</f>
        <v>0</v>
      </c>
      <c r="E193" s="188"/>
      <c r="F193" s="127"/>
      <c r="G193" s="189" t="s">
        <v>17</v>
      </c>
      <c r="H193" s="204">
        <v>5</v>
      </c>
      <c r="I193" s="192"/>
      <c r="J193" s="85"/>
      <c r="K193" s="19"/>
      <c r="L193" s="19"/>
      <c r="M193" s="19"/>
      <c r="N193" s="19"/>
      <c r="O193" s="19"/>
      <c r="P193" s="17"/>
      <c r="Q193" s="291"/>
    </row>
    <row r="194" spans="1:20" ht="25.5">
      <c r="A194" s="122"/>
      <c r="B194" s="113" t="s">
        <v>288</v>
      </c>
      <c r="C194" s="123" t="s">
        <v>289</v>
      </c>
      <c r="D194" s="497" t="s">
        <v>290</v>
      </c>
      <c r="E194" s="498"/>
      <c r="F194" s="499"/>
      <c r="G194" s="58"/>
      <c r="H194" s="175"/>
      <c r="I194" s="143"/>
      <c r="K194" s="493"/>
      <c r="L194" s="493"/>
      <c r="M194" s="493"/>
      <c r="N194" s="29"/>
      <c r="O194" s="19"/>
      <c r="P194" s="19"/>
      <c r="Q194" s="300"/>
      <c r="R194" s="6"/>
      <c r="S194" s="6"/>
      <c r="T194" s="6"/>
    </row>
    <row r="195" spans="1:20" s="7" customFormat="1" ht="12" customHeight="1">
      <c r="A195" s="114"/>
      <c r="B195" s="118" t="s">
        <v>291</v>
      </c>
      <c r="C195" s="109">
        <v>0</v>
      </c>
      <c r="D195" s="509">
        <v>0</v>
      </c>
      <c r="E195" s="510"/>
      <c r="F195" s="511"/>
      <c r="G195" s="60"/>
      <c r="H195" s="174"/>
      <c r="I195" s="144"/>
      <c r="J195" s="228" t="s">
        <v>292</v>
      </c>
      <c r="K195" s="230"/>
      <c r="L195" s="230"/>
      <c r="M195" s="230"/>
      <c r="N195" s="30"/>
      <c r="O195" s="19"/>
      <c r="P195" s="19"/>
      <c r="Q195" s="300"/>
      <c r="R195" s="6"/>
      <c r="S195" s="6"/>
      <c r="T195" s="6"/>
    </row>
    <row r="196" spans="1:20" s="7" customFormat="1" ht="12" customHeight="1">
      <c r="A196" s="115"/>
      <c r="B196" s="118" t="s">
        <v>293</v>
      </c>
      <c r="C196" s="110">
        <v>0</v>
      </c>
      <c r="D196" s="509">
        <v>0</v>
      </c>
      <c r="E196" s="510"/>
      <c r="F196" s="511"/>
      <c r="G196" s="98"/>
      <c r="H196" s="174"/>
      <c r="I196" s="144"/>
      <c r="J196" s="229" t="s">
        <v>294</v>
      </c>
      <c r="K196" s="230"/>
      <c r="L196" s="230"/>
      <c r="M196" s="230"/>
      <c r="N196" s="30"/>
      <c r="O196" s="19"/>
      <c r="P196" s="19"/>
      <c r="Q196" s="300"/>
      <c r="R196" s="6"/>
      <c r="S196" s="6"/>
      <c r="T196" s="6"/>
    </row>
    <row r="197" spans="1:20" s="7" customFormat="1" ht="12" customHeight="1">
      <c r="A197" s="115"/>
      <c r="B197" s="118" t="s">
        <v>295</v>
      </c>
      <c r="C197" s="450">
        <v>0</v>
      </c>
      <c r="D197" s="509">
        <v>0</v>
      </c>
      <c r="E197" s="510"/>
      <c r="F197" s="511"/>
      <c r="G197" s="459"/>
      <c r="H197" s="173"/>
      <c r="I197" s="145"/>
      <c r="J197" s="227" t="s">
        <v>296</v>
      </c>
      <c r="K197" s="459"/>
      <c r="L197" s="459"/>
      <c r="M197" s="459"/>
      <c r="N197" s="20"/>
      <c r="O197" s="19"/>
      <c r="P197" s="19"/>
      <c r="Q197" s="300"/>
      <c r="R197" s="6"/>
      <c r="S197" s="6"/>
      <c r="T197" s="6"/>
    </row>
    <row r="198" spans="1:20" s="7" customFormat="1" ht="12" customHeight="1">
      <c r="A198" s="115"/>
      <c r="B198" s="118" t="s">
        <v>297</v>
      </c>
      <c r="C198" s="450">
        <v>0</v>
      </c>
      <c r="D198" s="509">
        <v>0</v>
      </c>
      <c r="E198" s="510"/>
      <c r="F198" s="511"/>
      <c r="G198" s="459"/>
      <c r="H198" s="173"/>
      <c r="I198" s="459"/>
      <c r="J198" s="459"/>
      <c r="K198" s="459"/>
      <c r="L198" s="459"/>
      <c r="M198" s="459"/>
      <c r="N198" s="20"/>
      <c r="O198" s="19"/>
      <c r="P198" s="19"/>
      <c r="Q198" s="300"/>
      <c r="R198" s="6"/>
      <c r="S198" s="6"/>
      <c r="T198" s="6"/>
    </row>
    <row r="199" spans="1:20" s="7" customFormat="1" ht="12" customHeight="1">
      <c r="A199" s="115"/>
      <c r="B199" s="118" t="s">
        <v>298</v>
      </c>
      <c r="C199" s="450">
        <v>0</v>
      </c>
      <c r="D199" s="509">
        <v>0</v>
      </c>
      <c r="E199" s="510"/>
      <c r="F199" s="511"/>
      <c r="G199" s="547"/>
      <c r="H199" s="548"/>
      <c r="I199" s="459"/>
      <c r="J199" s="459" t="s">
        <v>299</v>
      </c>
      <c r="K199" s="459"/>
      <c r="L199" s="459"/>
      <c r="M199" s="459"/>
      <c r="N199" s="20"/>
      <c r="O199" s="19"/>
      <c r="P199" s="19"/>
      <c r="Q199" s="300"/>
      <c r="R199" s="6"/>
      <c r="S199" s="6"/>
      <c r="T199" s="6"/>
    </row>
    <row r="200" spans="1:20" s="7" customFormat="1" ht="12" customHeight="1">
      <c r="A200" s="111"/>
      <c r="B200" s="118" t="s">
        <v>300</v>
      </c>
      <c r="C200" s="450">
        <v>0</v>
      </c>
      <c r="D200" s="509">
        <v>0</v>
      </c>
      <c r="E200" s="510"/>
      <c r="F200" s="511"/>
      <c r="G200" s="547"/>
      <c r="H200" s="548"/>
      <c r="I200" s="459"/>
      <c r="J200" s="459" t="s">
        <v>301</v>
      </c>
      <c r="K200" s="459"/>
      <c r="L200" s="459"/>
      <c r="M200" s="459"/>
      <c r="N200" s="20"/>
      <c r="O200" s="19"/>
      <c r="P200" s="19"/>
      <c r="Q200" s="300"/>
      <c r="R200" s="6"/>
      <c r="S200" s="6"/>
      <c r="T200" s="6"/>
    </row>
    <row r="201" spans="1:20" s="7" customFormat="1" ht="12" customHeight="1">
      <c r="A201" s="111"/>
      <c r="B201" s="118" t="s">
        <v>302</v>
      </c>
      <c r="C201" s="450">
        <v>0</v>
      </c>
      <c r="D201" s="509">
        <v>0</v>
      </c>
      <c r="E201" s="510"/>
      <c r="F201" s="511"/>
      <c r="G201" s="459"/>
      <c r="H201" s="173"/>
      <c r="I201" s="459"/>
      <c r="J201" s="459"/>
      <c r="K201" s="459"/>
      <c r="L201" s="459"/>
      <c r="M201" s="459"/>
      <c r="N201" s="20"/>
      <c r="O201" s="19"/>
      <c r="P201" s="19"/>
      <c r="Q201" s="300"/>
      <c r="R201" s="6"/>
      <c r="S201" s="6"/>
      <c r="T201" s="6"/>
    </row>
    <row r="202" spans="1:20" s="7" customFormat="1" ht="12" customHeight="1">
      <c r="A202" s="115"/>
      <c r="B202" s="118" t="s">
        <v>303</v>
      </c>
      <c r="C202" s="450">
        <v>0</v>
      </c>
      <c r="D202" s="509">
        <v>0</v>
      </c>
      <c r="E202" s="510"/>
      <c r="F202" s="511"/>
      <c r="G202" s="107"/>
      <c r="H202" s="172"/>
      <c r="I202" s="56"/>
      <c r="J202" s="19"/>
      <c r="K202" s="19"/>
      <c r="L202" s="19"/>
      <c r="M202" s="19"/>
      <c r="N202" s="19"/>
      <c r="O202" s="19"/>
      <c r="P202" s="19"/>
      <c r="Q202" s="300"/>
      <c r="R202" s="6"/>
      <c r="S202" s="6"/>
      <c r="T202" s="6"/>
    </row>
    <row r="203" spans="1:20" s="7" customFormat="1" ht="12" customHeight="1">
      <c r="A203" s="115"/>
      <c r="B203" s="118" t="s">
        <v>304</v>
      </c>
      <c r="C203" s="450">
        <v>0</v>
      </c>
      <c r="D203" s="509">
        <v>0</v>
      </c>
      <c r="E203" s="510"/>
      <c r="F203" s="511"/>
      <c r="G203" s="107"/>
      <c r="H203" s="172"/>
      <c r="I203" s="56"/>
      <c r="J203" s="19"/>
      <c r="K203" s="19"/>
      <c r="L203" s="19"/>
      <c r="M203" s="19"/>
      <c r="N203" s="19"/>
      <c r="O203" s="19"/>
      <c r="P203" s="19"/>
      <c r="Q203" s="300"/>
      <c r="R203" s="6"/>
      <c r="S203" s="6"/>
      <c r="T203" s="6"/>
    </row>
    <row r="204" spans="1:20" s="7" customFormat="1" ht="12" customHeight="1">
      <c r="A204" s="115"/>
      <c r="B204" s="118" t="s">
        <v>305</v>
      </c>
      <c r="C204" s="450">
        <v>0</v>
      </c>
      <c r="D204" s="509">
        <v>0</v>
      </c>
      <c r="E204" s="510"/>
      <c r="F204" s="511"/>
      <c r="G204" s="107"/>
      <c r="H204" s="172"/>
      <c r="I204" s="56"/>
      <c r="J204" s="19"/>
      <c r="K204" s="19"/>
      <c r="L204" s="19"/>
      <c r="M204" s="19"/>
      <c r="N204" s="17"/>
      <c r="O204" s="17"/>
      <c r="P204" s="17"/>
      <c r="Q204" s="291"/>
    </row>
    <row r="205" spans="1:20" s="7" customFormat="1" ht="12" customHeight="1">
      <c r="A205" s="115"/>
      <c r="B205" s="118" t="s">
        <v>306</v>
      </c>
      <c r="C205" s="450">
        <v>0</v>
      </c>
      <c r="D205" s="509">
        <v>0</v>
      </c>
      <c r="E205" s="510"/>
      <c r="F205" s="511"/>
      <c r="G205" s="107"/>
      <c r="H205" s="172"/>
      <c r="I205" s="56"/>
      <c r="J205" s="19"/>
      <c r="K205" s="19"/>
      <c r="L205" s="19"/>
      <c r="M205" s="19"/>
      <c r="N205" s="17"/>
      <c r="O205" s="17"/>
      <c r="P205" s="17"/>
      <c r="Q205" s="291"/>
    </row>
    <row r="206" spans="1:20" s="7" customFormat="1" ht="12" customHeight="1">
      <c r="A206" s="115"/>
      <c r="B206" s="118" t="s">
        <v>307</v>
      </c>
      <c r="C206" s="450">
        <v>0</v>
      </c>
      <c r="D206" s="509">
        <v>0</v>
      </c>
      <c r="E206" s="510"/>
      <c r="F206" s="511"/>
      <c r="G206" s="107"/>
      <c r="H206" s="172"/>
      <c r="I206" s="56"/>
      <c r="J206" s="19"/>
      <c r="K206" s="19"/>
      <c r="L206" s="19"/>
      <c r="M206" s="19"/>
      <c r="N206" s="17"/>
      <c r="O206" s="17"/>
      <c r="P206" s="17"/>
      <c r="Q206" s="291"/>
    </row>
    <row r="207" spans="1:20" s="7" customFormat="1" ht="12" customHeight="1">
      <c r="A207" s="115"/>
      <c r="B207" s="119" t="s">
        <v>308</v>
      </c>
      <c r="C207" s="450">
        <v>0</v>
      </c>
      <c r="D207" s="509">
        <v>0</v>
      </c>
      <c r="E207" s="510"/>
      <c r="F207" s="511"/>
      <c r="G207" s="107"/>
      <c r="H207" s="172"/>
      <c r="I207" s="56"/>
      <c r="J207" s="19"/>
      <c r="K207" s="19"/>
      <c r="L207" s="19"/>
      <c r="M207" s="19"/>
      <c r="N207" s="17"/>
      <c r="O207" s="17"/>
      <c r="P207" s="17"/>
      <c r="Q207" s="291"/>
    </row>
    <row r="208" spans="1:20" s="7" customFormat="1" ht="12" customHeight="1">
      <c r="A208" s="115"/>
      <c r="B208" s="119" t="s">
        <v>309</v>
      </c>
      <c r="C208" s="450">
        <v>0</v>
      </c>
      <c r="D208" s="509">
        <v>0</v>
      </c>
      <c r="E208" s="510"/>
      <c r="F208" s="511"/>
      <c r="G208" s="107"/>
      <c r="H208" s="172"/>
      <c r="I208" s="56"/>
      <c r="J208" s="19"/>
      <c r="K208" s="19"/>
      <c r="L208" s="19"/>
      <c r="M208" s="19"/>
      <c r="N208" s="17"/>
      <c r="O208" s="17"/>
      <c r="P208" s="17"/>
      <c r="Q208" s="291"/>
    </row>
    <row r="209" spans="1:20" s="7" customFormat="1" ht="12" customHeight="1">
      <c r="A209" s="115"/>
      <c r="B209" s="119" t="s">
        <v>310</v>
      </c>
      <c r="C209" s="450">
        <v>0</v>
      </c>
      <c r="D209" s="509">
        <v>0</v>
      </c>
      <c r="E209" s="510"/>
      <c r="F209" s="511"/>
      <c r="G209" s="107"/>
      <c r="H209" s="172"/>
      <c r="I209" s="56"/>
      <c r="J209" s="19"/>
      <c r="K209" s="19"/>
      <c r="L209" s="19"/>
      <c r="M209" s="19"/>
      <c r="N209" s="17"/>
      <c r="O209" s="17"/>
      <c r="P209" s="17"/>
      <c r="Q209" s="291"/>
    </row>
    <row r="210" spans="1:20" s="7" customFormat="1" ht="12" customHeight="1">
      <c r="A210" s="115"/>
      <c r="B210" s="119" t="s">
        <v>311</v>
      </c>
      <c r="C210" s="450">
        <v>0</v>
      </c>
      <c r="D210" s="509">
        <v>0</v>
      </c>
      <c r="E210" s="510"/>
      <c r="F210" s="511"/>
      <c r="G210" s="107"/>
      <c r="H210" s="172"/>
      <c r="I210" s="56"/>
      <c r="J210" s="19"/>
      <c r="K210" s="19"/>
      <c r="L210" s="19"/>
      <c r="M210" s="19"/>
      <c r="N210" s="17"/>
      <c r="O210" s="17"/>
      <c r="P210" s="17"/>
      <c r="Q210" s="291"/>
    </row>
    <row r="211" spans="1:20" s="7" customFormat="1" ht="12" customHeight="1">
      <c r="A211" s="115"/>
      <c r="B211" s="119" t="s">
        <v>312</v>
      </c>
      <c r="C211" s="450">
        <v>0</v>
      </c>
      <c r="D211" s="509">
        <v>0</v>
      </c>
      <c r="E211" s="510"/>
      <c r="F211" s="511"/>
      <c r="G211" s="107"/>
      <c r="H211" s="172"/>
      <c r="I211" s="56"/>
      <c r="J211" s="19"/>
      <c r="K211" s="19"/>
      <c r="L211" s="19"/>
      <c r="M211" s="19"/>
      <c r="N211" s="17"/>
      <c r="O211" s="17"/>
      <c r="P211" s="17"/>
      <c r="Q211" s="291"/>
    </row>
    <row r="212" spans="1:20" s="7" customFormat="1" ht="12" customHeight="1">
      <c r="A212" s="115"/>
      <c r="B212" s="119" t="s">
        <v>313</v>
      </c>
      <c r="C212" s="450">
        <v>0</v>
      </c>
      <c r="D212" s="509">
        <v>0</v>
      </c>
      <c r="E212" s="510"/>
      <c r="F212" s="511"/>
      <c r="G212" s="107"/>
      <c r="H212" s="172"/>
      <c r="I212" s="56"/>
      <c r="J212" s="19"/>
      <c r="K212" s="19"/>
      <c r="L212" s="19"/>
      <c r="M212" s="19"/>
      <c r="N212" s="17"/>
      <c r="O212" s="17"/>
      <c r="P212" s="17"/>
      <c r="Q212" s="291"/>
    </row>
    <row r="213" spans="1:20" s="7" customFormat="1" ht="12" customHeight="1">
      <c r="A213" s="115"/>
      <c r="B213" s="119" t="s">
        <v>314</v>
      </c>
      <c r="C213" s="450">
        <v>0</v>
      </c>
      <c r="D213" s="509">
        <v>0</v>
      </c>
      <c r="E213" s="510"/>
      <c r="F213" s="511"/>
      <c r="G213" s="107"/>
      <c r="H213" s="172"/>
      <c r="I213" s="56"/>
      <c r="J213" s="19"/>
      <c r="K213" s="19"/>
      <c r="L213" s="19"/>
      <c r="M213" s="19"/>
      <c r="N213" s="17"/>
      <c r="O213" s="17"/>
      <c r="P213" s="17"/>
      <c r="Q213" s="291"/>
    </row>
    <row r="214" spans="1:20" s="7" customFormat="1" ht="12" customHeight="1">
      <c r="A214" s="115"/>
      <c r="B214" s="119" t="s">
        <v>315</v>
      </c>
      <c r="C214" s="450">
        <v>0</v>
      </c>
      <c r="D214" s="509">
        <v>0</v>
      </c>
      <c r="E214" s="510"/>
      <c r="F214" s="511"/>
      <c r="G214" s="107"/>
      <c r="H214" s="172"/>
      <c r="I214" s="56"/>
      <c r="J214" s="19"/>
      <c r="K214" s="19"/>
      <c r="L214" s="19"/>
      <c r="M214" s="19"/>
      <c r="N214" s="17"/>
      <c r="O214" s="17"/>
      <c r="P214" s="17"/>
      <c r="Q214" s="291"/>
    </row>
    <row r="215" spans="1:20" s="7" customFormat="1" ht="12" customHeight="1">
      <c r="A215" s="115"/>
      <c r="B215" s="119" t="s">
        <v>316</v>
      </c>
      <c r="C215" s="450">
        <v>0</v>
      </c>
      <c r="D215" s="509">
        <v>0</v>
      </c>
      <c r="E215" s="510"/>
      <c r="F215" s="511"/>
      <c r="G215" s="107"/>
      <c r="H215" s="172"/>
      <c r="I215" s="56"/>
      <c r="J215" s="19"/>
      <c r="K215" s="19"/>
      <c r="L215" s="19"/>
      <c r="M215" s="19"/>
      <c r="N215" s="17"/>
      <c r="O215" s="17"/>
      <c r="P215" s="17"/>
      <c r="Q215" s="291"/>
    </row>
    <row r="216" spans="1:20" s="7" customFormat="1" ht="12" customHeight="1">
      <c r="A216" s="115"/>
      <c r="B216" s="119" t="s">
        <v>317</v>
      </c>
      <c r="C216" s="450">
        <v>0</v>
      </c>
      <c r="D216" s="509">
        <v>0</v>
      </c>
      <c r="E216" s="510"/>
      <c r="F216" s="511"/>
      <c r="G216" s="107"/>
      <c r="H216" s="172"/>
      <c r="I216" s="56"/>
      <c r="J216" s="19"/>
      <c r="K216" s="19"/>
      <c r="L216" s="19"/>
      <c r="M216" s="19"/>
      <c r="N216" s="17"/>
      <c r="O216" s="17"/>
      <c r="P216" s="17"/>
      <c r="Q216" s="291"/>
    </row>
    <row r="217" spans="1:20" s="6" customFormat="1" ht="12" customHeight="1">
      <c r="A217" s="116"/>
      <c r="B217" s="120" t="s">
        <v>318</v>
      </c>
      <c r="C217" s="452">
        <f>IF(COUNT(C195:C216)=0,"",SUM(C195:C216))</f>
        <v>0</v>
      </c>
      <c r="D217" s="533">
        <f>IF(COUNT(D195:F216)=0,"",SUM(D195:F216))</f>
        <v>0</v>
      </c>
      <c r="E217" s="534"/>
      <c r="F217" s="535"/>
      <c r="G217" s="108" t="s">
        <v>14</v>
      </c>
      <c r="H217" s="172"/>
      <c r="I217" s="56"/>
      <c r="J217" s="19"/>
      <c r="K217" s="19"/>
      <c r="L217" s="19"/>
      <c r="M217" s="19"/>
      <c r="N217" s="17"/>
      <c r="O217" s="17"/>
      <c r="P217" s="17"/>
      <c r="Q217" s="291"/>
      <c r="R217" s="7"/>
      <c r="S217" s="7"/>
      <c r="T217" s="7"/>
    </row>
    <row r="218" spans="1:20" s="6" customFormat="1" ht="12" customHeight="1">
      <c r="A218" s="116"/>
      <c r="B218" s="120" t="s">
        <v>319</v>
      </c>
      <c r="C218" s="533">
        <f>H5</f>
        <v>0</v>
      </c>
      <c r="D218" s="534"/>
      <c r="E218" s="534"/>
      <c r="F218" s="535"/>
      <c r="G218" s="106" t="s">
        <v>14</v>
      </c>
      <c r="H218" s="172"/>
      <c r="I218" s="56"/>
      <c r="J218" s="19"/>
      <c r="K218" s="19"/>
      <c r="L218" s="19"/>
      <c r="M218" s="19"/>
      <c r="N218" s="17"/>
      <c r="O218" s="19"/>
      <c r="P218" s="19"/>
      <c r="Q218" s="300"/>
    </row>
    <row r="219" spans="1:20" s="7" customFormat="1" ht="12" customHeight="1">
      <c r="A219" s="117"/>
      <c r="B219" s="121" t="s">
        <v>320</v>
      </c>
      <c r="C219" s="536" t="str">
        <f>IF(OR(COUNT(C195:F216)=0,C218=0,D217="",C217=""),"",(C218*COUNTA(B195:B216)-C217-D217)/(C218*COUNTA(B195:B216)))</f>
        <v/>
      </c>
      <c r="D219" s="537"/>
      <c r="E219" s="537"/>
      <c r="F219" s="538"/>
      <c r="G219" s="19"/>
      <c r="H219" s="171"/>
      <c r="I219" s="107"/>
      <c r="J219" s="459"/>
      <c r="K219" s="459"/>
      <c r="L219" s="459"/>
      <c r="M219" s="459"/>
      <c r="N219" s="20"/>
      <c r="O219" s="19"/>
      <c r="P219" s="19"/>
      <c r="Q219" s="300"/>
      <c r="R219" s="6"/>
      <c r="S219" s="6"/>
      <c r="T219" s="6"/>
    </row>
    <row r="220" spans="1:20" s="7" customFormat="1" ht="11.25" customHeight="1">
      <c r="A220" s="117"/>
      <c r="B220" s="44"/>
      <c r="C220" s="130"/>
      <c r="D220" s="130"/>
      <c r="E220" s="130"/>
      <c r="F220" s="130"/>
      <c r="G220" s="19"/>
      <c r="H220" s="171"/>
      <c r="I220" s="107"/>
      <c r="J220" s="63"/>
      <c r="K220" s="459"/>
      <c r="L220" s="22"/>
      <c r="M220" s="459"/>
      <c r="N220" s="20"/>
      <c r="O220" s="19"/>
      <c r="P220" s="19"/>
      <c r="Q220" s="300"/>
      <c r="R220" s="6"/>
      <c r="S220" s="6"/>
      <c r="T220" s="6"/>
    </row>
    <row r="221" spans="1:20" s="7" customFormat="1" ht="12" customHeight="1">
      <c r="A221" s="117"/>
      <c r="B221" s="44"/>
      <c r="C221" s="130"/>
      <c r="D221" s="409">
        <v>0</v>
      </c>
      <c r="E221" s="217" t="s">
        <v>61</v>
      </c>
      <c r="F221" s="410">
        <v>0.8</v>
      </c>
      <c r="G221" s="141" t="str">
        <f>IF(F221&gt;$C$219,H221,"")</f>
        <v/>
      </c>
      <c r="H221" s="246">
        <v>0</v>
      </c>
      <c r="I221" s="107"/>
      <c r="J221" s="459"/>
      <c r="K221" s="459"/>
      <c r="L221" s="459"/>
      <c r="M221" s="459"/>
      <c r="N221" s="20"/>
      <c r="O221" s="19"/>
      <c r="P221" s="19"/>
      <c r="Q221" s="300"/>
      <c r="R221" s="6"/>
      <c r="S221" s="6"/>
      <c r="T221" s="6"/>
    </row>
    <row r="222" spans="1:20" s="7" customFormat="1" ht="12" customHeight="1">
      <c r="A222" s="117"/>
      <c r="B222" s="44"/>
      <c r="C222" s="130"/>
      <c r="D222" s="409">
        <f>F221</f>
        <v>0.8</v>
      </c>
      <c r="E222" s="217" t="s">
        <v>61</v>
      </c>
      <c r="F222" s="410">
        <v>0.9</v>
      </c>
      <c r="G222" s="141" t="str">
        <f t="shared" ref="G222" si="23">IF(OR(D222=$C$219,AND(D222&lt;$C$219, F222&gt;$C$219)),H222,"")</f>
        <v/>
      </c>
      <c r="H222" s="246">
        <v>3</v>
      </c>
      <c r="I222" s="107"/>
      <c r="J222" s="459"/>
      <c r="K222" s="459"/>
      <c r="L222" s="459"/>
      <c r="M222" s="459"/>
      <c r="N222" s="20"/>
      <c r="O222" s="19"/>
      <c r="P222" s="19"/>
      <c r="Q222" s="300"/>
      <c r="R222" s="6"/>
      <c r="S222" s="6"/>
      <c r="T222" s="6"/>
    </row>
    <row r="223" spans="1:20" s="7" customFormat="1" ht="12" customHeight="1">
      <c r="A223" s="117"/>
      <c r="B223" s="44"/>
      <c r="C223" s="130"/>
      <c r="D223" s="409">
        <f>F222</f>
        <v>0.9</v>
      </c>
      <c r="E223" s="217" t="s">
        <v>321</v>
      </c>
      <c r="F223" s="410"/>
      <c r="G223" s="141" t="str">
        <f>IF(C219="","",IF(OR(D223=$C$219,D223&lt;$C$219),H223,""))</f>
        <v/>
      </c>
      <c r="H223" s="246">
        <v>5</v>
      </c>
      <c r="I223" s="107"/>
      <c r="J223" s="459"/>
      <c r="K223" s="459"/>
      <c r="L223" s="459"/>
      <c r="M223" s="459"/>
      <c r="N223" s="20"/>
      <c r="O223" s="19"/>
      <c r="P223" s="19"/>
      <c r="Q223" s="300"/>
      <c r="R223" s="6"/>
      <c r="S223" s="6"/>
      <c r="T223" s="6"/>
    </row>
    <row r="224" spans="1:20" s="7" customFormat="1" ht="11.25" customHeight="1">
      <c r="A224" s="117"/>
      <c r="B224" s="65"/>
      <c r="C224" s="17"/>
      <c r="D224" s="411"/>
      <c r="E224" s="411"/>
      <c r="F224" s="411"/>
      <c r="G224" s="19"/>
      <c r="H224" s="171"/>
      <c r="I224" s="107"/>
      <c r="J224" s="459"/>
      <c r="K224" s="459"/>
      <c r="L224" s="459"/>
      <c r="M224" s="459"/>
      <c r="N224" s="459"/>
      <c r="O224" s="19"/>
      <c r="P224" s="19"/>
      <c r="Q224" s="300"/>
      <c r="R224" s="6"/>
      <c r="S224" s="6"/>
      <c r="T224" s="6"/>
    </row>
    <row r="225" spans="1:20" s="7" customFormat="1" ht="27.95" customHeight="1" thickBot="1">
      <c r="A225" s="42" t="s">
        <v>322</v>
      </c>
      <c r="B225" s="188"/>
      <c r="C225" s="190" t="s">
        <v>51</v>
      </c>
      <c r="D225" s="456">
        <f>SUM(G227:G232)</f>
        <v>0</v>
      </c>
      <c r="E225" s="188"/>
      <c r="F225" s="127"/>
      <c r="G225" s="189" t="s">
        <v>17</v>
      </c>
      <c r="H225" s="204">
        <v>5</v>
      </c>
      <c r="I225" s="192"/>
      <c r="J225" s="63"/>
      <c r="K225" s="459"/>
      <c r="L225" s="22"/>
      <c r="M225" s="19"/>
      <c r="N225" s="19"/>
      <c r="O225" s="19"/>
      <c r="P225" s="17"/>
      <c r="Q225" s="291"/>
    </row>
    <row r="226" spans="1:20" s="68" customFormat="1" ht="67.5" customHeight="1" thickTop="1">
      <c r="A226" s="274" t="s">
        <v>323</v>
      </c>
      <c r="B226" s="288" t="s">
        <v>44</v>
      </c>
      <c r="C226" s="288" t="s">
        <v>45</v>
      </c>
      <c r="D226" s="494" t="s">
        <v>168</v>
      </c>
      <c r="E226" s="494"/>
      <c r="F226" s="494"/>
      <c r="G226" s="288" t="s">
        <v>47</v>
      </c>
      <c r="H226" s="185" t="s">
        <v>48</v>
      </c>
      <c r="I226" s="288"/>
      <c r="J226" s="55" t="s">
        <v>49</v>
      </c>
      <c r="K226" s="69"/>
      <c r="L226" s="69"/>
      <c r="M226" s="69"/>
      <c r="N226" s="69"/>
      <c r="O226" s="69"/>
      <c r="P226" s="69"/>
      <c r="Q226" s="294"/>
    </row>
    <row r="227" spans="1:20" s="7" customFormat="1" ht="25.5">
      <c r="A227" s="153" t="s">
        <v>324</v>
      </c>
      <c r="B227" s="154" t="s">
        <v>325</v>
      </c>
      <c r="C227" s="16"/>
      <c r="D227" s="409">
        <v>0</v>
      </c>
      <c r="E227" s="217" t="s">
        <v>61</v>
      </c>
      <c r="F227" s="410">
        <v>0.45</v>
      </c>
      <c r="G227" s="141" t="str">
        <f>IF(F227&gt;$C$229,H227,"")</f>
        <v/>
      </c>
      <c r="H227" s="246">
        <v>0</v>
      </c>
      <c r="I227" s="23"/>
      <c r="J227" s="26">
        <v>0.9</v>
      </c>
      <c r="K227" s="459" t="s">
        <v>326</v>
      </c>
      <c r="L227" s="22"/>
      <c r="M227" s="22"/>
      <c r="N227" s="19"/>
      <c r="O227" s="19"/>
      <c r="P227" s="17"/>
      <c r="Q227" s="291"/>
    </row>
    <row r="228" spans="1:20" s="7" customFormat="1" ht="25.5">
      <c r="A228" s="155" t="s">
        <v>327</v>
      </c>
      <c r="B228" s="154" t="s">
        <v>328</v>
      </c>
      <c r="C228" s="16"/>
      <c r="D228" s="409">
        <f>F227</f>
        <v>0.45</v>
      </c>
      <c r="E228" s="217" t="s">
        <v>61</v>
      </c>
      <c r="F228" s="410">
        <f>D228+$J$229</f>
        <v>0.56000000000000005</v>
      </c>
      <c r="G228" s="141" t="str">
        <f>IF(OR(D228=$C$229,AND(D228&lt;$C$229, F228&gt;$C$229)),H228,"")</f>
        <v/>
      </c>
      <c r="H228" s="246">
        <f>H227+J$231</f>
        <v>1</v>
      </c>
      <c r="I228" s="23"/>
      <c r="J228" s="27">
        <f>0.5*J227</f>
        <v>0.45</v>
      </c>
      <c r="K228" s="459" t="s">
        <v>89</v>
      </c>
      <c r="L228" s="22"/>
      <c r="M228" s="22"/>
      <c r="N228" s="19"/>
      <c r="O228" s="19"/>
      <c r="P228" s="17"/>
      <c r="Q228" s="291"/>
    </row>
    <row r="229" spans="1:20" s="7" customFormat="1">
      <c r="A229" s="461" t="s">
        <v>329</v>
      </c>
      <c r="B229" s="156" t="s">
        <v>77</v>
      </c>
      <c r="C229" s="245" t="str">
        <f>IF(OR(C228=0,ISBLANK(C228),ISBLANK(C227)),"",C227/C228)</f>
        <v/>
      </c>
      <c r="D229" s="409">
        <f t="shared" ref="D229:D232" si="24">F228</f>
        <v>0.56000000000000005</v>
      </c>
      <c r="E229" s="217" t="s">
        <v>61</v>
      </c>
      <c r="F229" s="410">
        <f>D229+$J$229</f>
        <v>0.67</v>
      </c>
      <c r="G229" s="141" t="str">
        <f t="shared" ref="G229:G231" si="25">IF(OR(D229=$C$229,AND(D229&lt;$C$229, F229&gt;$C$229)),H229,"")</f>
        <v/>
      </c>
      <c r="H229" s="246">
        <f>H228+J$231</f>
        <v>2</v>
      </c>
      <c r="I229" s="23"/>
      <c r="J229" s="27">
        <f>(1-J228)/5</f>
        <v>0.11000000000000001</v>
      </c>
      <c r="K229" s="459" t="s">
        <v>90</v>
      </c>
      <c r="L229" s="22"/>
      <c r="M229" s="22"/>
      <c r="N229" s="19"/>
      <c r="O229" s="19"/>
      <c r="P229" s="17"/>
      <c r="Q229" s="291"/>
    </row>
    <row r="230" spans="1:20" s="7" customFormat="1">
      <c r="A230" s="17"/>
      <c r="C230" s="17"/>
      <c r="D230" s="409">
        <f t="shared" si="24"/>
        <v>0.67</v>
      </c>
      <c r="E230" s="217" t="s">
        <v>61</v>
      </c>
      <c r="F230" s="410">
        <f>D230+$J$229</f>
        <v>0.78</v>
      </c>
      <c r="G230" s="141" t="str">
        <f t="shared" si="25"/>
        <v/>
      </c>
      <c r="H230" s="246">
        <f>H229+J$231</f>
        <v>3</v>
      </c>
      <c r="I230" s="23"/>
      <c r="J230" s="23">
        <f>H225</f>
        <v>5</v>
      </c>
      <c r="K230" s="459" t="s">
        <v>68</v>
      </c>
      <c r="L230" s="22"/>
      <c r="M230" s="22"/>
      <c r="N230" s="19"/>
      <c r="O230" s="19"/>
      <c r="P230" s="17"/>
      <c r="Q230" s="291"/>
    </row>
    <row r="231" spans="1:20" s="7" customFormat="1" ht="38.25">
      <c r="A231" s="115"/>
      <c r="B231" s="448" t="s">
        <v>330</v>
      </c>
      <c r="C231" s="17"/>
      <c r="D231" s="409">
        <f t="shared" si="24"/>
        <v>0.78</v>
      </c>
      <c r="E231" s="217" t="s">
        <v>61</v>
      </c>
      <c r="F231" s="410">
        <f>D231+$J$229</f>
        <v>0.89</v>
      </c>
      <c r="G231" s="141" t="str">
        <f t="shared" si="25"/>
        <v/>
      </c>
      <c r="H231" s="246">
        <f>H230+J$231</f>
        <v>4</v>
      </c>
      <c r="I231" s="23"/>
      <c r="J231" s="23">
        <f>J230/5</f>
        <v>1</v>
      </c>
      <c r="K231" s="459" t="s">
        <v>91</v>
      </c>
      <c r="L231" s="22"/>
      <c r="M231" s="22"/>
      <c r="N231" s="19"/>
      <c r="O231" s="19"/>
      <c r="P231" s="17"/>
      <c r="Q231" s="291"/>
    </row>
    <row r="232" spans="1:20">
      <c r="A232" s="112"/>
      <c r="B232" s="72"/>
      <c r="C232" s="124" t="s">
        <v>14</v>
      </c>
      <c r="D232" s="409">
        <f t="shared" si="24"/>
        <v>0.89</v>
      </c>
      <c r="E232" s="217" t="s">
        <v>321</v>
      </c>
      <c r="F232" s="410" t="s">
        <v>331</v>
      </c>
      <c r="G232" s="141" t="str">
        <f>IF(C229="","",IF(OR(D232=$C$229,D232&lt;$C$229),H232,""))</f>
        <v/>
      </c>
      <c r="H232" s="246">
        <f>H231+J$231</f>
        <v>5</v>
      </c>
      <c r="I232" s="23"/>
      <c r="J232" s="19"/>
      <c r="K232" s="19"/>
      <c r="L232" s="19"/>
      <c r="M232" s="19"/>
      <c r="N232" s="19"/>
      <c r="O232" s="19"/>
      <c r="P232" s="17"/>
      <c r="Q232" s="291"/>
      <c r="R232" s="7"/>
      <c r="S232" s="7"/>
      <c r="T232" s="7"/>
    </row>
    <row r="233" spans="1:20">
      <c r="A233" s="112"/>
      <c r="B233" s="72"/>
      <c r="C233" s="124"/>
      <c r="D233" s="131"/>
      <c r="E233" s="95"/>
      <c r="F233" s="96"/>
      <c r="G233" s="163"/>
      <c r="H233" s="268"/>
      <c r="I233" s="23"/>
      <c r="J233" s="19"/>
      <c r="K233" s="19"/>
      <c r="L233" s="19"/>
      <c r="M233" s="19"/>
      <c r="N233" s="19"/>
      <c r="O233" s="19"/>
      <c r="P233" s="17"/>
      <c r="Q233" s="291"/>
      <c r="R233" s="7"/>
      <c r="S233" s="7"/>
      <c r="T233" s="7"/>
    </row>
    <row r="234" spans="1:20" ht="15">
      <c r="A234" s="42" t="s">
        <v>332</v>
      </c>
      <c r="B234" s="188"/>
      <c r="C234" s="190" t="s">
        <v>51</v>
      </c>
      <c r="D234" s="38">
        <f>SUM(D236:D237)</f>
        <v>0</v>
      </c>
      <c r="E234" s="188"/>
      <c r="F234" s="127"/>
      <c r="G234" s="189" t="s">
        <v>17</v>
      </c>
      <c r="H234" s="204">
        <v>5</v>
      </c>
      <c r="I234" s="23"/>
      <c r="J234" s="19"/>
      <c r="K234" s="19"/>
      <c r="L234" s="19"/>
      <c r="M234" s="19"/>
      <c r="N234" s="19"/>
      <c r="O234" s="19"/>
      <c r="P234" s="17"/>
      <c r="Q234" s="291"/>
      <c r="R234" s="7"/>
      <c r="S234" s="7"/>
      <c r="T234" s="7"/>
    </row>
    <row r="235" spans="1:20">
      <c r="A235" s="146"/>
      <c r="B235" s="288" t="s">
        <v>44</v>
      </c>
      <c r="C235" s="288" t="s">
        <v>45</v>
      </c>
      <c r="D235" s="539" t="s">
        <v>16</v>
      </c>
      <c r="E235" s="539"/>
      <c r="F235" s="540"/>
      <c r="G235" s="233"/>
      <c r="H235" s="234"/>
      <c r="I235" s="23"/>
      <c r="J235" s="19"/>
      <c r="K235" s="19"/>
      <c r="L235" s="19"/>
      <c r="M235" s="19"/>
      <c r="N235" s="19"/>
      <c r="O235" s="19"/>
      <c r="P235" s="17"/>
      <c r="Q235" s="291"/>
      <c r="R235" s="7"/>
      <c r="S235" s="7"/>
      <c r="T235" s="7"/>
    </row>
    <row r="236" spans="1:20" ht="28.5" customHeight="1">
      <c r="A236" s="461" t="s">
        <v>333</v>
      </c>
      <c r="B236" s="461" t="s">
        <v>334</v>
      </c>
      <c r="C236" s="103" t="s">
        <v>25</v>
      </c>
      <c r="D236" s="541" t="str">
        <f>IF(C236="Yes",0.6*H234,"")</f>
        <v/>
      </c>
      <c r="E236" s="542"/>
      <c r="F236" s="543"/>
      <c r="G236" s="221"/>
      <c r="H236" s="231"/>
      <c r="I236" s="61"/>
      <c r="J236" s="84" t="s">
        <v>335</v>
      </c>
      <c r="K236" s="17"/>
      <c r="L236" s="17"/>
      <c r="M236" s="17"/>
      <c r="N236" s="17"/>
      <c r="O236" s="17"/>
      <c r="P236" s="17"/>
    </row>
    <row r="237" spans="1:20" ht="27.75" customHeight="1">
      <c r="A237" s="461" t="s">
        <v>336</v>
      </c>
      <c r="B237" s="461" t="s">
        <v>334</v>
      </c>
      <c r="C237" s="103" t="s">
        <v>25</v>
      </c>
      <c r="D237" s="541" t="str">
        <f>IF(C237="Yes",0.4*H234,"")</f>
        <v/>
      </c>
      <c r="E237" s="542"/>
      <c r="F237" s="543"/>
      <c r="G237" s="221"/>
      <c r="H237" s="231"/>
      <c r="I237" s="61"/>
      <c r="J237" s="17"/>
      <c r="K237" s="17"/>
      <c r="L237" s="17"/>
      <c r="M237" s="17"/>
      <c r="N237" s="17"/>
      <c r="O237" s="17"/>
      <c r="P237" s="17"/>
    </row>
    <row r="238" spans="1:20" ht="19.5" customHeight="1">
      <c r="A238" s="53"/>
      <c r="B238" s="72"/>
      <c r="C238" s="61"/>
      <c r="D238" s="17"/>
      <c r="E238" s="17"/>
      <c r="F238" s="17"/>
      <c r="G238" s="61"/>
      <c r="H238" s="232"/>
      <c r="I238" s="61"/>
      <c r="J238" s="17"/>
      <c r="K238" s="17"/>
      <c r="L238" s="17"/>
      <c r="M238" s="17"/>
      <c r="N238" s="17"/>
      <c r="O238" s="17"/>
      <c r="P238" s="17"/>
    </row>
    <row r="239" spans="1:20" ht="26.25" thickBot="1">
      <c r="A239" s="42" t="s">
        <v>337</v>
      </c>
      <c r="B239" s="188"/>
      <c r="C239" s="190" t="s">
        <v>51</v>
      </c>
      <c r="D239" s="456">
        <f>SUM(G241:G246)</f>
        <v>0</v>
      </c>
      <c r="E239" s="188"/>
      <c r="F239" s="127"/>
      <c r="G239" s="189" t="s">
        <v>17</v>
      </c>
      <c r="H239" s="204">
        <v>10</v>
      </c>
      <c r="I239" s="53"/>
      <c r="J239" s="63"/>
      <c r="K239" s="459"/>
      <c r="L239" s="22"/>
      <c r="M239" s="17"/>
      <c r="N239" s="17"/>
      <c r="O239" s="17"/>
      <c r="P239" s="17"/>
      <c r="Q239" s="290" t="s">
        <v>338</v>
      </c>
    </row>
    <row r="240" spans="1:20" ht="72" customHeight="1" thickTop="1">
      <c r="A240" s="146"/>
      <c r="B240" s="288" t="s">
        <v>44</v>
      </c>
      <c r="C240" s="288" t="s">
        <v>45</v>
      </c>
      <c r="D240" s="494" t="s">
        <v>168</v>
      </c>
      <c r="E240" s="494"/>
      <c r="F240" s="494"/>
      <c r="G240" s="288" t="s">
        <v>47</v>
      </c>
      <c r="H240" s="185" t="s">
        <v>48</v>
      </c>
      <c r="I240" s="53"/>
      <c r="J240" s="17"/>
      <c r="K240" s="17"/>
      <c r="L240" s="17"/>
      <c r="M240" s="17"/>
      <c r="N240" s="17"/>
      <c r="O240" s="17"/>
      <c r="P240" s="17"/>
    </row>
    <row r="241" spans="1:17" ht="25.5">
      <c r="A241" s="461" t="s">
        <v>339</v>
      </c>
      <c r="B241" s="461" t="s">
        <v>340</v>
      </c>
      <c r="C241" s="224"/>
      <c r="D241" s="409">
        <v>0</v>
      </c>
      <c r="E241" s="217" t="s">
        <v>98</v>
      </c>
      <c r="F241" s="410">
        <v>0.45</v>
      </c>
      <c r="G241" s="141" t="str">
        <f>IF(F241&gt;$C$243,H241,"")</f>
        <v/>
      </c>
      <c r="H241" s="246">
        <v>0</v>
      </c>
      <c r="I241" s="61"/>
      <c r="J241" s="26">
        <v>0.9</v>
      </c>
      <c r="K241" s="134" t="s">
        <v>341</v>
      </c>
      <c r="L241" s="22"/>
      <c r="M241" s="22"/>
      <c r="N241" s="17"/>
      <c r="O241" s="17"/>
      <c r="P241" s="17"/>
    </row>
    <row r="242" spans="1:17" ht="25.5">
      <c r="A242" s="461" t="s">
        <v>342</v>
      </c>
      <c r="B242" s="461" t="s">
        <v>343</v>
      </c>
      <c r="C242" s="224"/>
      <c r="D242" s="409">
        <f>F241</f>
        <v>0.45</v>
      </c>
      <c r="E242" s="217" t="s">
        <v>61</v>
      </c>
      <c r="F242" s="410">
        <f>D242+$J$229</f>
        <v>0.56000000000000005</v>
      </c>
      <c r="G242" s="141" t="str">
        <f>IF(OR(D242=$C$243,AND(D242&lt;$C$243, F242&gt;$C$243)),H242,"")</f>
        <v/>
      </c>
      <c r="H242" s="246">
        <f>H241+$J$245</f>
        <v>2</v>
      </c>
      <c r="I242" s="61"/>
      <c r="J242" s="27">
        <f>0.5*J241</f>
        <v>0.45</v>
      </c>
      <c r="K242" s="459" t="s">
        <v>89</v>
      </c>
      <c r="L242" s="22"/>
      <c r="M242" s="22"/>
      <c r="N242" s="17"/>
      <c r="O242" s="17"/>
      <c r="P242" s="17"/>
    </row>
    <row r="243" spans="1:17" ht="17.25" customHeight="1">
      <c r="A243" s="461" t="s">
        <v>344</v>
      </c>
      <c r="B243" s="237" t="s">
        <v>77</v>
      </c>
      <c r="C243" s="208" t="str">
        <f>IF(OR(ISBLANK(C241),ISBLANK(C242)),"",C242/C241)</f>
        <v/>
      </c>
      <c r="D243" s="409">
        <f t="shared" ref="D243:D246" si="26">F242</f>
        <v>0.56000000000000005</v>
      </c>
      <c r="E243" s="217" t="s">
        <v>61</v>
      </c>
      <c r="F243" s="410">
        <f>D243+$J$229</f>
        <v>0.67</v>
      </c>
      <c r="G243" s="141" t="str">
        <f t="shared" ref="G243:G245" si="27">IF(OR(D243=$C$243,AND(D243&lt;$C$243, F243&gt;$C$243)),H243,"")</f>
        <v/>
      </c>
      <c r="H243" s="246">
        <f t="shared" ref="H243:H246" si="28">H242+$J$245</f>
        <v>4</v>
      </c>
      <c r="I243" s="61"/>
      <c r="J243" s="27">
        <f>(1-J242)/5</f>
        <v>0.11000000000000001</v>
      </c>
      <c r="K243" s="459" t="s">
        <v>90</v>
      </c>
      <c r="L243" s="22"/>
      <c r="M243" s="22"/>
      <c r="N243" s="17"/>
      <c r="O243" s="17"/>
      <c r="P243" s="17"/>
    </row>
    <row r="244" spans="1:17" ht="25.5">
      <c r="A244" s="164"/>
      <c r="B244" s="555" t="s">
        <v>345</v>
      </c>
      <c r="C244" s="283" t="s">
        <v>14</v>
      </c>
      <c r="D244" s="409">
        <f t="shared" si="26"/>
        <v>0.67</v>
      </c>
      <c r="E244" s="217" t="s">
        <v>61</v>
      </c>
      <c r="F244" s="410">
        <f>D244+$J$229</f>
        <v>0.78</v>
      </c>
      <c r="G244" s="141" t="str">
        <f t="shared" si="27"/>
        <v/>
      </c>
      <c r="H244" s="246">
        <f t="shared" si="28"/>
        <v>6</v>
      </c>
      <c r="I244" s="61"/>
      <c r="J244" s="23">
        <f>H239</f>
        <v>10</v>
      </c>
      <c r="K244" s="459" t="s">
        <v>68</v>
      </c>
      <c r="L244" s="22"/>
      <c r="M244" s="22"/>
      <c r="N244" s="17"/>
      <c r="O244" s="17"/>
      <c r="P244" s="17"/>
    </row>
    <row r="245" spans="1:17">
      <c r="A245" s="164"/>
      <c r="B245" s="165"/>
      <c r="C245" s="192"/>
      <c r="D245" s="409">
        <f t="shared" si="26"/>
        <v>0.78</v>
      </c>
      <c r="E245" s="217" t="s">
        <v>61</v>
      </c>
      <c r="F245" s="410">
        <f>D245+$J$229</f>
        <v>0.89</v>
      </c>
      <c r="G245" s="141" t="str">
        <f t="shared" si="27"/>
        <v/>
      </c>
      <c r="H245" s="246">
        <f t="shared" si="28"/>
        <v>8</v>
      </c>
      <c r="I245" s="61"/>
      <c r="J245" s="23">
        <f>J244/5</f>
        <v>2</v>
      </c>
      <c r="K245" s="459" t="s">
        <v>91</v>
      </c>
      <c r="L245" s="22"/>
      <c r="M245" s="22"/>
      <c r="N245" s="17"/>
      <c r="O245" s="17"/>
      <c r="P245" s="17"/>
    </row>
    <row r="246" spans="1:17">
      <c r="A246" s="164"/>
      <c r="B246" s="165"/>
      <c r="C246" s="192"/>
      <c r="D246" s="409">
        <f t="shared" si="26"/>
        <v>0.89</v>
      </c>
      <c r="E246" s="217" t="s">
        <v>70</v>
      </c>
      <c r="F246" s="406" t="s">
        <v>71</v>
      </c>
      <c r="G246" s="141" t="str">
        <f>IF(C243="","",IF(OR(D246=$C$243,D246&lt;$C$243),H246,""))</f>
        <v/>
      </c>
      <c r="H246" s="246">
        <f t="shared" si="28"/>
        <v>10</v>
      </c>
      <c r="I246" s="61"/>
      <c r="J246" s="17"/>
      <c r="K246" s="17"/>
      <c r="L246" s="17"/>
      <c r="M246" s="17"/>
      <c r="N246" s="17"/>
      <c r="O246" s="17"/>
      <c r="P246" s="17"/>
    </row>
    <row r="247" spans="1:17" ht="19.5" customHeight="1" thickBot="1">
      <c r="A247" s="53"/>
      <c r="B247" s="72"/>
      <c r="C247" s="61"/>
      <c r="D247" s="17"/>
      <c r="E247" s="17"/>
      <c r="F247" s="17"/>
      <c r="G247" s="169"/>
      <c r="H247" s="238"/>
      <c r="I247" s="61"/>
      <c r="J247" s="17"/>
      <c r="K247" s="17"/>
      <c r="L247" s="17"/>
      <c r="M247" s="17"/>
      <c r="N247" s="17"/>
      <c r="O247" s="17"/>
      <c r="P247" s="17"/>
    </row>
    <row r="248" spans="1:17" ht="20.25" customHeight="1">
      <c r="A248" s="133" t="s">
        <v>346</v>
      </c>
      <c r="B248" s="82"/>
      <c r="C248" s="77" t="s">
        <v>41</v>
      </c>
      <c r="D248" s="500">
        <f>SUM(D250:F254)</f>
        <v>0</v>
      </c>
      <c r="E248" s="501"/>
      <c r="F248" s="502"/>
      <c r="G248" s="77" t="s">
        <v>17</v>
      </c>
      <c r="H248" s="241">
        <v>16</v>
      </c>
      <c r="I248" s="61"/>
      <c r="J248" s="348"/>
      <c r="K248" s="17"/>
      <c r="L248" s="17"/>
      <c r="M248" s="17"/>
      <c r="N248" s="17"/>
      <c r="O248" s="17"/>
      <c r="P248" s="17"/>
    </row>
    <row r="249" spans="1:17" ht="25.5" customHeight="1" thickTop="1">
      <c r="A249" s="413" t="s">
        <v>347</v>
      </c>
      <c r="B249" s="414"/>
      <c r="C249" s="415"/>
      <c r="D249" s="416"/>
      <c r="E249" s="416"/>
      <c r="F249" s="416"/>
      <c r="G249" s="288"/>
      <c r="H249" s="182"/>
      <c r="I249" s="61"/>
      <c r="J249" s="17"/>
      <c r="K249" s="17"/>
      <c r="L249" s="17"/>
      <c r="M249" s="17"/>
      <c r="N249" s="17"/>
      <c r="O249" s="17"/>
      <c r="P249" s="17"/>
    </row>
    <row r="250" spans="1:17" ht="31.5" customHeight="1">
      <c r="A250" s="146"/>
      <c r="B250" s="417" t="s">
        <v>44</v>
      </c>
      <c r="C250" s="449" t="s">
        <v>45</v>
      </c>
      <c r="D250" s="539" t="s">
        <v>47</v>
      </c>
      <c r="E250" s="539"/>
      <c r="F250" s="540"/>
      <c r="G250" s="306"/>
      <c r="H250" s="235"/>
      <c r="I250" s="61"/>
      <c r="J250" s="17"/>
      <c r="K250" s="17"/>
      <c r="L250" s="17"/>
      <c r="M250" s="17"/>
      <c r="N250" s="17"/>
      <c r="O250" s="17"/>
      <c r="P250" s="17"/>
      <c r="Q250" s="290" t="s">
        <v>348</v>
      </c>
    </row>
    <row r="251" spans="1:17" ht="43.5" customHeight="1">
      <c r="A251" s="339" t="s">
        <v>349</v>
      </c>
      <c r="B251" s="461" t="s">
        <v>350</v>
      </c>
      <c r="C251" s="437" t="s">
        <v>25</v>
      </c>
      <c r="D251" s="544" t="str">
        <f>IF(C251="Select Yes or No","",(IF(C251="Yes","List Names in cell A246","Stop")))</f>
        <v/>
      </c>
      <c r="E251" s="545"/>
      <c r="F251" s="546"/>
      <c r="G251" s="147"/>
      <c r="H251" s="235"/>
      <c r="I251" s="61"/>
      <c r="J251" s="17"/>
      <c r="K251" s="17"/>
      <c r="L251" s="17"/>
      <c r="M251" s="17"/>
      <c r="N251" s="17"/>
      <c r="O251" s="17"/>
      <c r="P251" s="17"/>
    </row>
    <row r="252" spans="1:17" ht="46.5" customHeight="1">
      <c r="A252" s="339" t="s">
        <v>351</v>
      </c>
      <c r="B252" s="461" t="s">
        <v>352</v>
      </c>
      <c r="C252" s="437" t="s">
        <v>25</v>
      </c>
      <c r="D252" s="544" t="str">
        <f>IF(C252="Select Yes or No","",IF((AND(C251="yes",C252="yes")),4,0))</f>
        <v/>
      </c>
      <c r="E252" s="545"/>
      <c r="F252" s="546"/>
      <c r="G252" s="147"/>
      <c r="H252" s="235"/>
      <c r="I252" s="61"/>
      <c r="J252" s="17"/>
      <c r="K252" s="17"/>
      <c r="L252" s="17"/>
      <c r="M252" s="17"/>
      <c r="N252" s="17"/>
      <c r="O252" s="17"/>
      <c r="P252" s="17"/>
    </row>
    <row r="253" spans="1:17" ht="43.5" customHeight="1">
      <c r="A253" s="339" t="s">
        <v>353</v>
      </c>
      <c r="B253" s="461" t="s">
        <v>354</v>
      </c>
      <c r="C253" s="437" t="s">
        <v>25</v>
      </c>
      <c r="D253" s="529" t="str">
        <f>IF(C253="SELECT YES OR NO","",IF((AND(C252="Yes",C253="yes")),4,"0"))</f>
        <v/>
      </c>
      <c r="E253" s="530"/>
      <c r="F253" s="531"/>
      <c r="G253" s="147"/>
      <c r="H253" s="235"/>
      <c r="I253" s="61"/>
      <c r="J253" s="17"/>
      <c r="K253" s="17"/>
      <c r="L253" s="17"/>
      <c r="M253" s="17"/>
      <c r="N253" s="17"/>
      <c r="O253" s="17"/>
      <c r="P253" s="17"/>
    </row>
    <row r="254" spans="1:17" ht="43.5" customHeight="1">
      <c r="A254" s="339" t="s">
        <v>355</v>
      </c>
      <c r="B254" s="453" t="s">
        <v>356</v>
      </c>
      <c r="C254" s="103" t="s">
        <v>25</v>
      </c>
      <c r="D254" s="529" t="str">
        <f>IF(C254="SELECT YES OR NO","",IF(C254="Yes",8,IF(C254="No",0)))</f>
        <v/>
      </c>
      <c r="E254" s="530"/>
      <c r="F254" s="531"/>
      <c r="G254" s="52"/>
      <c r="H254" s="235"/>
      <c r="I254" s="61"/>
      <c r="J254" s="17"/>
      <c r="K254" s="236"/>
      <c r="L254" s="17"/>
      <c r="M254" s="17"/>
      <c r="N254" s="17"/>
      <c r="O254" s="17"/>
      <c r="P254" s="17"/>
      <c r="Q254" s="290" t="s">
        <v>357</v>
      </c>
    </row>
    <row r="255" spans="1:17">
      <c r="A255" s="53"/>
      <c r="B255" s="72"/>
      <c r="C255" s="61"/>
      <c r="D255" s="17"/>
      <c r="E255" s="17"/>
      <c r="F255" s="17"/>
      <c r="G255" s="61"/>
      <c r="H255" s="182"/>
      <c r="I255" s="61"/>
      <c r="J255" s="17"/>
      <c r="K255" s="17"/>
      <c r="L255" s="17"/>
      <c r="M255" s="17"/>
      <c r="N255" s="17"/>
      <c r="O255" s="17"/>
      <c r="P255" s="17"/>
    </row>
    <row r="256" spans="1:17">
      <c r="A256" s="53"/>
      <c r="B256" s="72"/>
      <c r="C256" s="61"/>
      <c r="D256" s="17"/>
      <c r="E256" s="17"/>
      <c r="F256" s="17"/>
      <c r="G256" s="61"/>
      <c r="H256" s="182"/>
      <c r="I256" s="61"/>
      <c r="J256" s="17"/>
      <c r="K256" s="17"/>
      <c r="L256" s="17"/>
      <c r="M256" s="17"/>
      <c r="N256" s="17"/>
      <c r="O256" s="17"/>
      <c r="P256" s="17"/>
    </row>
    <row r="257" spans="1:16">
      <c r="A257" s="53"/>
      <c r="B257" s="72"/>
      <c r="C257" s="61"/>
      <c r="D257" s="17"/>
      <c r="E257" s="17"/>
      <c r="F257" s="17"/>
      <c r="G257" s="61"/>
      <c r="H257" s="182"/>
      <c r="I257" s="61"/>
      <c r="J257" s="17"/>
      <c r="K257" s="17"/>
      <c r="L257" s="17"/>
      <c r="M257" s="17"/>
      <c r="N257" s="17"/>
      <c r="O257" s="17"/>
      <c r="P257" s="17"/>
    </row>
  </sheetData>
  <mergeCells count="92">
    <mergeCell ref="D251:F251"/>
    <mergeCell ref="D252:F252"/>
    <mergeCell ref="D253:F253"/>
    <mergeCell ref="D20:H20"/>
    <mergeCell ref="D250:F250"/>
    <mergeCell ref="D236:F236"/>
    <mergeCell ref="D215:F215"/>
    <mergeCell ref="D216:F216"/>
    <mergeCell ref="D195:F195"/>
    <mergeCell ref="D197:F197"/>
    <mergeCell ref="D209:F209"/>
    <mergeCell ref="D210:F210"/>
    <mergeCell ref="D211:F211"/>
    <mergeCell ref="D212:F212"/>
    <mergeCell ref="G199:H200"/>
    <mergeCell ref="D214:F214"/>
    <mergeCell ref="D254:F254"/>
    <mergeCell ref="D100:F100"/>
    <mergeCell ref="D101:F101"/>
    <mergeCell ref="D196:F196"/>
    <mergeCell ref="B192:D192"/>
    <mergeCell ref="D102:F102"/>
    <mergeCell ref="D248:F248"/>
    <mergeCell ref="D226:F226"/>
    <mergeCell ref="C218:F218"/>
    <mergeCell ref="C219:F219"/>
    <mergeCell ref="D200:F200"/>
    <mergeCell ref="D235:F235"/>
    <mergeCell ref="D237:F237"/>
    <mergeCell ref="D198:F198"/>
    <mergeCell ref="D217:F217"/>
    <mergeCell ref="D240:F240"/>
    <mergeCell ref="A1:H1"/>
    <mergeCell ref="A2:H2"/>
    <mergeCell ref="D24:F24"/>
    <mergeCell ref="A43:A44"/>
    <mergeCell ref="B43:B44"/>
    <mergeCell ref="C43:C44"/>
    <mergeCell ref="A3:H3"/>
    <mergeCell ref="C5:G5"/>
    <mergeCell ref="C6:G6"/>
    <mergeCell ref="C7:G7"/>
    <mergeCell ref="D9:F9"/>
    <mergeCell ref="D23:F23"/>
    <mergeCell ref="A37:B37"/>
    <mergeCell ref="D39:H40"/>
    <mergeCell ref="D13:H13"/>
    <mergeCell ref="D14:H14"/>
    <mergeCell ref="D133:F133"/>
    <mergeCell ref="D207:F207"/>
    <mergeCell ref="D201:F201"/>
    <mergeCell ref="D205:F205"/>
    <mergeCell ref="D206:F206"/>
    <mergeCell ref="D191:F191"/>
    <mergeCell ref="D213:F213"/>
    <mergeCell ref="D204:F204"/>
    <mergeCell ref="D208:F208"/>
    <mergeCell ref="D199:F199"/>
    <mergeCell ref="D202:F202"/>
    <mergeCell ref="D203:F203"/>
    <mergeCell ref="D16:H16"/>
    <mergeCell ref="K194:M194"/>
    <mergeCell ref="D168:F168"/>
    <mergeCell ref="A162:B162"/>
    <mergeCell ref="L95:M95"/>
    <mergeCell ref="L99:M99"/>
    <mergeCell ref="D109:F109"/>
    <mergeCell ref="D194:F194"/>
    <mergeCell ref="D132:F132"/>
    <mergeCell ref="D167:F167"/>
    <mergeCell ref="A131:B131"/>
    <mergeCell ref="D103:F103"/>
    <mergeCell ref="H127:H128"/>
    <mergeCell ref="A165:B165"/>
    <mergeCell ref="D117:F117"/>
    <mergeCell ref="D105:F105"/>
    <mergeCell ref="D18:H18"/>
    <mergeCell ref="D21:H21"/>
    <mergeCell ref="A31:B31"/>
    <mergeCell ref="A25:B25"/>
    <mergeCell ref="A32:B32"/>
    <mergeCell ref="A51:A52"/>
    <mergeCell ref="C51:C52"/>
    <mergeCell ref="D95:F95"/>
    <mergeCell ref="A129:B129"/>
    <mergeCell ref="A126:B126"/>
    <mergeCell ref="D97:F97"/>
    <mergeCell ref="D99:F99"/>
    <mergeCell ref="B51:B52"/>
    <mergeCell ref="E127:G128"/>
    <mergeCell ref="D96:F96"/>
    <mergeCell ref="D98:F98"/>
  </mergeCells>
  <phoneticPr fontId="3" type="noConversion"/>
  <dataValidations count="2">
    <dataValidation type="list" allowBlank="1" showInputMessage="1" showErrorMessage="1" sqref="C96:C102" xr:uid="{00000000-0002-0000-0000-000000000000}">
      <formula1>tf</formula1>
    </dataValidation>
    <dataValidation type="list" allowBlank="1" showInputMessage="1" showErrorMessage="1" promptTitle="Select YES or NO" sqref="C16 C13:C14 C236:C237 C18 C20:C21 C251:C254" xr:uid="{00000000-0002-0000-0000-000001000000}">
      <formula1>yn</formula1>
    </dataValidation>
  </dataValidations>
  <printOptions horizontalCentered="1"/>
  <pageMargins left="0.25" right="0.25" top="0.25" bottom="0.25" header="0.5" footer="0.3"/>
  <pageSetup scale="75" fitToHeight="0" orientation="landscape" r:id="rId1"/>
  <headerFooter alignWithMargins="0">
    <oddFooter>&amp;L&amp;D&amp;R&amp;F</oddFooter>
  </headerFooter>
  <rowBreaks count="3" manualBreakCount="3">
    <brk id="57" max="7" man="1"/>
    <brk id="10" max="7" man="1"/>
    <brk id="235" max="7" man="1"/>
  </rowBreaks>
  <ignoredErrors>
    <ignoredError sqref="G165 G221:G223 G57:G64 G93 G42 H176:J176 H178:J178 H177:I177 H180:J180 H179:I179 C61 G135:G140 C155 G160:G164 G179 G180 G177 G178 G175:G176 G241:G246 C157" unlockedFormula="1"/>
    <ignoredError sqref="C217:F217 C42 C45:C50 C53:C58 D219:F219 D218:F218" emptyCellReference="1"/>
    <ignoredError sqref="G49:G50 G52:G56 G45:G47" unlockedFormula="1" emptyCellReference="1"/>
    <ignoredError sqref="J177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"/>
  <sheetViews>
    <sheetView workbookViewId="0" xr3:uid="{958C4451-9541-5A59-BF78-D2F731DF1C81}">
      <selection activeCell="C12" sqref="C12:E12"/>
    </sheetView>
  </sheetViews>
  <sheetFormatPr defaultColWidth="8.85546875" defaultRowHeight="12.75"/>
  <cols>
    <col min="1" max="1" width="11" style="370" customWidth="1"/>
    <col min="2" max="2" width="35.85546875" customWidth="1"/>
    <col min="3" max="3" width="8.85546875" style="381"/>
    <col min="4" max="4" width="11.42578125" customWidth="1"/>
    <col min="5" max="5" width="13.28515625" customWidth="1"/>
  </cols>
  <sheetData>
    <row r="1" spans="1:5" ht="15.75">
      <c r="A1" s="549" t="s">
        <v>358</v>
      </c>
      <c r="B1" s="550"/>
      <c r="C1" s="550"/>
      <c r="D1" s="550"/>
      <c r="E1" s="551"/>
    </row>
    <row r="2" spans="1:5">
      <c r="A2" s="375" t="s">
        <v>359</v>
      </c>
      <c r="B2" s="196" t="s">
        <v>360</v>
      </c>
      <c r="C2" s="383" t="s">
        <v>361</v>
      </c>
      <c r="D2" s="196" t="s">
        <v>362</v>
      </c>
      <c r="E2" s="196"/>
    </row>
    <row r="3" spans="1:5">
      <c r="A3" s="374"/>
      <c r="B3" s="195"/>
      <c r="C3" s="385"/>
      <c r="D3" s="195"/>
      <c r="E3" s="195"/>
    </row>
    <row r="4" spans="1:5">
      <c r="A4" s="373" t="s">
        <v>363</v>
      </c>
      <c r="B4" s="376" t="s">
        <v>364</v>
      </c>
      <c r="C4" s="379" t="s">
        <v>14</v>
      </c>
      <c r="D4" s="380">
        <f>SUM(C4:C14)</f>
        <v>98</v>
      </c>
      <c r="E4" s="380"/>
    </row>
    <row r="5" spans="1:5">
      <c r="A5" s="372" t="s">
        <v>365</v>
      </c>
      <c r="B5" s="365" t="s">
        <v>366</v>
      </c>
      <c r="C5" s="377">
        <v>37</v>
      </c>
      <c r="D5" s="378"/>
      <c r="E5" s="378"/>
    </row>
    <row r="6" spans="1:5" ht="24">
      <c r="A6" s="371" t="s">
        <v>367</v>
      </c>
      <c r="B6" s="365" t="s">
        <v>368</v>
      </c>
      <c r="C6" s="385">
        <v>5</v>
      </c>
      <c r="D6" s="197"/>
      <c r="E6" s="195"/>
    </row>
    <row r="7" spans="1:5">
      <c r="A7" s="374">
        <v>2</v>
      </c>
      <c r="B7" s="365" t="s">
        <v>369</v>
      </c>
      <c r="C7" s="385">
        <v>15</v>
      </c>
      <c r="D7" s="195"/>
      <c r="E7" s="195"/>
    </row>
    <row r="8" spans="1:5">
      <c r="A8" s="374">
        <v>3</v>
      </c>
      <c r="B8" s="365" t="s">
        <v>370</v>
      </c>
      <c r="C8" s="382">
        <v>10</v>
      </c>
      <c r="D8" s="195"/>
      <c r="E8" s="198" t="s">
        <v>14</v>
      </c>
    </row>
    <row r="9" spans="1:5">
      <c r="A9" s="374">
        <v>4</v>
      </c>
      <c r="B9" s="365" t="s">
        <v>371</v>
      </c>
      <c r="C9" s="385">
        <v>10</v>
      </c>
      <c r="D9" s="195"/>
      <c r="E9" s="195"/>
    </row>
    <row r="10" spans="1:5">
      <c r="A10" s="374">
        <v>5</v>
      </c>
      <c r="B10" s="365" t="s">
        <v>372</v>
      </c>
      <c r="C10" s="385">
        <v>5</v>
      </c>
      <c r="D10" s="195"/>
      <c r="E10" s="195"/>
    </row>
    <row r="11" spans="1:5">
      <c r="A11" s="374" t="s">
        <v>373</v>
      </c>
      <c r="B11" s="365" t="s">
        <v>374</v>
      </c>
      <c r="C11" s="385">
        <v>5</v>
      </c>
      <c r="D11" s="195"/>
      <c r="E11" s="195"/>
    </row>
    <row r="12" spans="1:5">
      <c r="A12" s="370" t="s">
        <v>375</v>
      </c>
      <c r="B12" s="435" t="s">
        <v>376</v>
      </c>
      <c r="C12" s="385">
        <v>4</v>
      </c>
      <c r="D12" s="195"/>
      <c r="E12" s="195"/>
    </row>
    <row r="13" spans="1:5" ht="24">
      <c r="A13" s="374">
        <v>7</v>
      </c>
      <c r="B13" s="365" t="s">
        <v>377</v>
      </c>
      <c r="C13" s="385">
        <v>3</v>
      </c>
      <c r="D13" s="195"/>
      <c r="E13" s="195"/>
    </row>
    <row r="14" spans="1:5">
      <c r="A14" s="374">
        <v>8</v>
      </c>
      <c r="B14" s="365" t="s">
        <v>378</v>
      </c>
      <c r="C14" s="385">
        <v>4</v>
      </c>
      <c r="D14" s="195"/>
      <c r="E14" s="195"/>
    </row>
    <row r="15" spans="1:5">
      <c r="A15" s="374"/>
      <c r="B15" s="365"/>
      <c r="C15" s="385"/>
      <c r="D15" s="195"/>
      <c r="E15" s="195"/>
    </row>
    <row r="16" spans="1:5">
      <c r="A16" s="373" t="s">
        <v>379</v>
      </c>
      <c r="B16" s="376" t="s">
        <v>380</v>
      </c>
      <c r="C16" s="379" t="s">
        <v>14</v>
      </c>
      <c r="D16" s="380">
        <f>SUM(C16:C19)</f>
        <v>18</v>
      </c>
      <c r="E16" s="380"/>
    </row>
    <row r="17" spans="1:5">
      <c r="A17" s="371" t="s">
        <v>381</v>
      </c>
      <c r="B17" s="195" t="s">
        <v>382</v>
      </c>
      <c r="C17" s="385">
        <v>4</v>
      </c>
      <c r="D17" s="195"/>
      <c r="E17" s="195"/>
    </row>
    <row r="18" spans="1:5">
      <c r="A18" s="371" t="s">
        <v>383</v>
      </c>
      <c r="B18" s="195" t="s">
        <v>384</v>
      </c>
      <c r="C18" s="385">
        <v>4</v>
      </c>
      <c r="D18" s="195"/>
      <c r="E18" s="195"/>
    </row>
    <row r="19" spans="1:5">
      <c r="A19" s="374">
        <v>10</v>
      </c>
      <c r="B19" s="198" t="s">
        <v>385</v>
      </c>
      <c r="C19" s="385">
        <v>10</v>
      </c>
      <c r="D19" s="195"/>
      <c r="E19" s="195"/>
    </row>
    <row r="20" spans="1:5">
      <c r="A20" s="374"/>
      <c r="B20" s="195"/>
      <c r="C20" s="385"/>
      <c r="D20" s="195"/>
      <c r="E20" s="195"/>
    </row>
    <row r="21" spans="1:5">
      <c r="A21" s="373" t="s">
        <v>386</v>
      </c>
      <c r="B21" s="380" t="s">
        <v>387</v>
      </c>
      <c r="C21" s="379"/>
      <c r="D21" s="380">
        <f>SUM(C22:C25)</f>
        <v>26</v>
      </c>
      <c r="E21" s="380"/>
    </row>
    <row r="22" spans="1:5">
      <c r="A22" s="374">
        <v>11</v>
      </c>
      <c r="B22" s="195" t="s">
        <v>388</v>
      </c>
      <c r="C22" s="385">
        <v>5</v>
      </c>
      <c r="D22" s="198" t="s">
        <v>14</v>
      </c>
      <c r="E22" s="195"/>
    </row>
    <row r="23" spans="1:5">
      <c r="A23" s="374">
        <v>12</v>
      </c>
      <c r="B23" s="195" t="s">
        <v>389</v>
      </c>
      <c r="C23" s="385">
        <v>4</v>
      </c>
      <c r="D23" s="195"/>
      <c r="E23" s="195"/>
    </row>
    <row r="24" spans="1:5">
      <c r="A24" s="374">
        <v>13</v>
      </c>
      <c r="B24" s="195" t="s">
        <v>390</v>
      </c>
      <c r="C24" s="385">
        <v>12</v>
      </c>
      <c r="D24" s="195"/>
      <c r="E24" s="195"/>
    </row>
    <row r="25" spans="1:5">
      <c r="A25" s="374">
        <v>14</v>
      </c>
      <c r="B25" s="195" t="s">
        <v>391</v>
      </c>
      <c r="C25" s="385">
        <v>5</v>
      </c>
      <c r="D25" s="195"/>
      <c r="E25" s="195"/>
    </row>
    <row r="26" spans="1:5">
      <c r="A26" s="374"/>
      <c r="B26" s="195"/>
      <c r="C26" s="385"/>
      <c r="D26" s="195"/>
      <c r="E26" s="195"/>
    </row>
    <row r="27" spans="1:5">
      <c r="A27" s="373" t="s">
        <v>392</v>
      </c>
      <c r="B27" s="380" t="s">
        <v>393</v>
      </c>
      <c r="C27" s="379"/>
      <c r="D27" s="380">
        <f>SUM(C28:C30)</f>
        <v>17</v>
      </c>
      <c r="E27" s="380"/>
    </row>
    <row r="28" spans="1:5">
      <c r="A28" s="374">
        <v>15</v>
      </c>
      <c r="B28" s="195" t="s">
        <v>394</v>
      </c>
      <c r="C28" s="385">
        <v>2</v>
      </c>
      <c r="D28" s="198" t="s">
        <v>14</v>
      </c>
      <c r="E28" s="195"/>
    </row>
    <row r="29" spans="1:5">
      <c r="A29" s="374">
        <v>16</v>
      </c>
      <c r="B29" s="195" t="s">
        <v>395</v>
      </c>
      <c r="C29" s="385">
        <v>5</v>
      </c>
      <c r="E29" s="195"/>
    </row>
    <row r="30" spans="1:5">
      <c r="A30" s="374">
        <v>17</v>
      </c>
      <c r="B30" s="195" t="s">
        <v>396</v>
      </c>
      <c r="C30" s="385">
        <v>10</v>
      </c>
      <c r="D30" s="195"/>
      <c r="E30" s="195"/>
    </row>
    <row r="31" spans="1:5">
      <c r="A31" s="374"/>
      <c r="B31" s="195"/>
      <c r="C31" s="384" t="s">
        <v>14</v>
      </c>
      <c r="D31" s="195"/>
      <c r="E31" s="195"/>
    </row>
    <row r="32" spans="1:5">
      <c r="A32" s="373" t="s">
        <v>397</v>
      </c>
      <c r="B32" s="380" t="s">
        <v>398</v>
      </c>
      <c r="C32" s="379"/>
      <c r="D32" s="380">
        <f>SUM(C33:C36)</f>
        <v>25</v>
      </c>
      <c r="E32" s="380"/>
    </row>
    <row r="33" spans="1:5">
      <c r="A33" s="374">
        <v>18</v>
      </c>
      <c r="B33" s="195" t="s">
        <v>399</v>
      </c>
      <c r="C33" s="385">
        <v>5</v>
      </c>
      <c r="D33" s="198" t="s">
        <v>14</v>
      </c>
      <c r="E33" s="195"/>
    </row>
    <row r="34" spans="1:5">
      <c r="A34" s="374">
        <v>19</v>
      </c>
      <c r="B34" s="195" t="s">
        <v>400</v>
      </c>
      <c r="C34" s="385">
        <v>5</v>
      </c>
      <c r="D34" s="195"/>
      <c r="E34" s="195"/>
    </row>
    <row r="35" spans="1:5">
      <c r="A35" s="374">
        <v>20</v>
      </c>
      <c r="B35" s="195" t="s">
        <v>401</v>
      </c>
      <c r="C35" s="385">
        <v>5</v>
      </c>
      <c r="D35" s="195"/>
      <c r="E35" s="195"/>
    </row>
    <row r="36" spans="1:5">
      <c r="A36" s="374">
        <v>21</v>
      </c>
      <c r="B36" s="195" t="s">
        <v>402</v>
      </c>
      <c r="C36" s="385">
        <v>10</v>
      </c>
      <c r="D36" s="195"/>
      <c r="E36" s="195"/>
    </row>
    <row r="37" spans="1:5">
      <c r="A37" s="374"/>
      <c r="B37" s="195"/>
      <c r="C37" s="385"/>
      <c r="D37" s="195"/>
      <c r="E37" s="195"/>
    </row>
    <row r="38" spans="1:5" ht="24" customHeight="1">
      <c r="A38" s="373" t="s">
        <v>403</v>
      </c>
      <c r="B38" s="369" t="s">
        <v>404</v>
      </c>
      <c r="C38" s="379" t="s">
        <v>14</v>
      </c>
      <c r="D38" s="380">
        <f>SUM(C39:C41)</f>
        <v>16</v>
      </c>
      <c r="E38" s="380"/>
    </row>
    <row r="39" spans="1:5">
      <c r="A39" s="371" t="s">
        <v>405</v>
      </c>
      <c r="B39" s="198" t="s">
        <v>406</v>
      </c>
      <c r="C39" s="384">
        <v>4</v>
      </c>
      <c r="D39" s="195"/>
      <c r="E39" s="195"/>
    </row>
    <row r="40" spans="1:5">
      <c r="A40" s="371" t="s">
        <v>407</v>
      </c>
      <c r="B40" s="198" t="s">
        <v>408</v>
      </c>
      <c r="C40" s="384">
        <v>4</v>
      </c>
      <c r="D40" s="195"/>
      <c r="E40" s="195"/>
    </row>
    <row r="41" spans="1:5">
      <c r="A41" s="374">
        <v>23</v>
      </c>
      <c r="B41" s="195" t="s">
        <v>409</v>
      </c>
      <c r="C41" s="385">
        <v>8</v>
      </c>
      <c r="D41" s="195"/>
      <c r="E41" s="195"/>
    </row>
    <row r="42" spans="1:5">
      <c r="A42" s="368" t="s">
        <v>410</v>
      </c>
      <c r="B42" s="367"/>
      <c r="C42" s="367"/>
      <c r="D42" s="366">
        <f>SUM(D3:D41)</f>
        <v>200</v>
      </c>
      <c r="E42" s="367"/>
    </row>
  </sheetData>
  <mergeCells count="1">
    <mergeCell ref="A1:E1"/>
  </mergeCells>
  <pageMargins left="1" right="1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6"/>
  <sheetViews>
    <sheetView workbookViewId="0" xr3:uid="{842E5F09-E766-5B8D-85AF-A39847EA96FD}">
      <selection activeCell="A12" sqref="A12"/>
    </sheetView>
  </sheetViews>
  <sheetFormatPr defaultColWidth="8.85546875" defaultRowHeight="12.75"/>
  <cols>
    <col min="1" max="1" width="11" style="370" customWidth="1"/>
    <col min="2" max="2" width="35.85546875" customWidth="1"/>
    <col min="3" max="3" width="8.85546875" style="381"/>
    <col min="4" max="4" width="11.42578125" customWidth="1"/>
    <col min="5" max="5" width="13.28515625" customWidth="1"/>
    <col min="7" max="7" width="13.140625" customWidth="1"/>
    <col min="8" max="8" width="31.85546875" customWidth="1"/>
    <col min="9" max="9" width="8.85546875" customWidth="1"/>
    <col min="10" max="10" width="8.85546875" hidden="1" customWidth="1"/>
    <col min="11" max="11" width="16.85546875" customWidth="1"/>
  </cols>
  <sheetData>
    <row r="1" spans="1:13" ht="15.75">
      <c r="A1" s="549" t="s">
        <v>358</v>
      </c>
      <c r="B1" s="550"/>
      <c r="C1" s="550"/>
      <c r="D1" s="550"/>
      <c r="E1" s="551"/>
      <c r="G1" s="552" t="s">
        <v>411</v>
      </c>
      <c r="H1" s="553"/>
      <c r="I1" s="553"/>
      <c r="J1" s="553"/>
      <c r="K1" s="554"/>
      <c r="M1" s="403" t="s">
        <v>412</v>
      </c>
    </row>
    <row r="2" spans="1:13">
      <c r="A2" s="375" t="s">
        <v>359</v>
      </c>
      <c r="B2" s="196" t="s">
        <v>360</v>
      </c>
      <c r="C2" s="383" t="s">
        <v>361</v>
      </c>
      <c r="D2" s="196" t="s">
        <v>362</v>
      </c>
      <c r="E2" s="196"/>
      <c r="G2" s="375" t="s">
        <v>359</v>
      </c>
      <c r="H2" s="196" t="s">
        <v>360</v>
      </c>
      <c r="I2" s="383" t="s">
        <v>361</v>
      </c>
      <c r="J2" s="196" t="s">
        <v>362</v>
      </c>
      <c r="K2" s="196" t="s">
        <v>362</v>
      </c>
    </row>
    <row r="3" spans="1:13">
      <c r="A3" s="374"/>
      <c r="B3" s="195"/>
      <c r="C3" s="385"/>
      <c r="D3" s="195"/>
      <c r="E3" s="195"/>
      <c r="G3" s="374"/>
      <c r="H3" s="195"/>
      <c r="I3" s="385"/>
      <c r="J3" s="195"/>
      <c r="K3" s="195"/>
    </row>
    <row r="4" spans="1:13">
      <c r="A4" s="373" t="s">
        <v>363</v>
      </c>
      <c r="B4" s="376" t="s">
        <v>364</v>
      </c>
      <c r="C4" s="379" t="s">
        <v>14</v>
      </c>
      <c r="D4" s="380">
        <f>SUM(C4:C14)</f>
        <v>98</v>
      </c>
      <c r="E4" s="380"/>
      <c r="G4" s="373" t="s">
        <v>363</v>
      </c>
      <c r="H4" s="376" t="s">
        <v>364</v>
      </c>
      <c r="I4" s="379" t="s">
        <v>14</v>
      </c>
      <c r="J4" s="380">
        <f>SUM(I4:I12)</f>
        <v>88</v>
      </c>
      <c r="K4" s="380">
        <f>SUM(I5:I14)</f>
        <v>88</v>
      </c>
      <c r="M4" s="225" t="s">
        <v>413</v>
      </c>
    </row>
    <row r="5" spans="1:13" ht="27.75" customHeight="1">
      <c r="A5" s="372" t="s">
        <v>365</v>
      </c>
      <c r="B5" s="395" t="s">
        <v>366</v>
      </c>
      <c r="C5" s="372">
        <v>37</v>
      </c>
      <c r="D5" s="396"/>
      <c r="E5" s="396"/>
      <c r="G5" s="372">
        <v>1</v>
      </c>
      <c r="H5" s="395" t="s">
        <v>366</v>
      </c>
      <c r="I5" s="372">
        <v>37</v>
      </c>
      <c r="J5" s="396"/>
      <c r="K5" s="396"/>
    </row>
    <row r="6" spans="1:13" ht="25.5" customHeight="1">
      <c r="A6" s="371" t="s">
        <v>367</v>
      </c>
      <c r="B6" s="395" t="s">
        <v>368</v>
      </c>
      <c r="C6" s="374">
        <v>5</v>
      </c>
      <c r="D6" s="398"/>
      <c r="E6" s="397"/>
      <c r="G6" s="374">
        <v>2</v>
      </c>
      <c r="H6" s="395" t="s">
        <v>369</v>
      </c>
      <c r="I6" s="374">
        <v>15</v>
      </c>
      <c r="J6" s="397"/>
      <c r="K6" s="397"/>
    </row>
    <row r="7" spans="1:13" ht="23.25" customHeight="1">
      <c r="A7" s="374">
        <v>2</v>
      </c>
      <c r="B7" s="395" t="s">
        <v>369</v>
      </c>
      <c r="C7" s="374">
        <v>15</v>
      </c>
      <c r="D7" s="397"/>
      <c r="E7" s="397"/>
      <c r="G7" s="374">
        <v>3</v>
      </c>
      <c r="H7" s="365" t="s">
        <v>370</v>
      </c>
      <c r="I7" s="382">
        <v>5</v>
      </c>
      <c r="J7" s="195"/>
      <c r="K7" s="198" t="s">
        <v>14</v>
      </c>
    </row>
    <row r="8" spans="1:13" ht="24.75" customHeight="1">
      <c r="A8" s="374">
        <v>3</v>
      </c>
      <c r="B8" s="395" t="s">
        <v>370</v>
      </c>
      <c r="C8" s="399">
        <v>10</v>
      </c>
      <c r="D8" s="397"/>
      <c r="E8" s="400" t="s">
        <v>14</v>
      </c>
      <c r="G8" s="374">
        <v>4</v>
      </c>
      <c r="H8" s="365" t="s">
        <v>371</v>
      </c>
      <c r="I8" s="385">
        <v>12</v>
      </c>
      <c r="J8" s="195"/>
      <c r="K8" s="195"/>
    </row>
    <row r="9" spans="1:13" ht="21.75" customHeight="1">
      <c r="A9" s="374">
        <v>4</v>
      </c>
      <c r="B9" s="395" t="s">
        <v>371</v>
      </c>
      <c r="C9" s="374">
        <v>10</v>
      </c>
      <c r="D9" s="397"/>
      <c r="E9" s="397"/>
      <c r="G9" s="374">
        <v>5</v>
      </c>
      <c r="H9" s="365" t="s">
        <v>372</v>
      </c>
      <c r="I9" s="385">
        <v>10</v>
      </c>
      <c r="J9" s="195"/>
      <c r="K9" s="195"/>
    </row>
    <row r="10" spans="1:13" ht="30" customHeight="1">
      <c r="A10" s="374">
        <v>5</v>
      </c>
      <c r="B10" s="395" t="s">
        <v>372</v>
      </c>
      <c r="C10" s="374">
        <v>5</v>
      </c>
      <c r="D10" s="397"/>
      <c r="E10" s="397"/>
      <c r="G10" s="374">
        <v>6</v>
      </c>
      <c r="H10" s="365" t="s">
        <v>414</v>
      </c>
      <c r="I10" s="385">
        <v>2</v>
      </c>
      <c r="J10" s="195"/>
      <c r="K10" s="195"/>
      <c r="M10" t="s">
        <v>415</v>
      </c>
    </row>
    <row r="11" spans="1:13" ht="30" customHeight="1">
      <c r="A11" s="374" t="s">
        <v>373</v>
      </c>
      <c r="B11" s="395" t="s">
        <v>416</v>
      </c>
      <c r="C11" s="374">
        <v>5</v>
      </c>
      <c r="D11" s="397"/>
      <c r="E11" s="397"/>
      <c r="G11" s="374">
        <v>7</v>
      </c>
      <c r="H11" s="365" t="s">
        <v>417</v>
      </c>
      <c r="I11" s="374">
        <v>3</v>
      </c>
      <c r="J11" s="195"/>
      <c r="K11" s="195"/>
    </row>
    <row r="12" spans="1:13" ht="38.25" customHeight="1">
      <c r="A12" s="374" t="s">
        <v>375</v>
      </c>
      <c r="B12" s="395" t="s">
        <v>418</v>
      </c>
      <c r="C12" s="374">
        <v>4</v>
      </c>
      <c r="D12" s="397"/>
      <c r="E12" s="397"/>
      <c r="G12" s="374">
        <v>8</v>
      </c>
      <c r="H12" s="395" t="s">
        <v>378</v>
      </c>
      <c r="I12" s="374">
        <v>4</v>
      </c>
      <c r="J12" s="195"/>
      <c r="K12" s="195"/>
    </row>
    <row r="13" spans="1:13" ht="35.25" customHeight="1">
      <c r="A13" s="374">
        <v>7</v>
      </c>
      <c r="B13" s="365" t="s">
        <v>419</v>
      </c>
      <c r="C13" s="385">
        <v>3</v>
      </c>
      <c r="D13" s="195"/>
      <c r="E13" s="195"/>
      <c r="G13" s="195"/>
      <c r="H13" s="195"/>
      <c r="I13" s="195"/>
      <c r="J13" s="195"/>
      <c r="K13" s="195"/>
    </row>
    <row r="14" spans="1:13" ht="30.75" customHeight="1">
      <c r="A14" s="374">
        <v>8</v>
      </c>
      <c r="B14" s="395" t="s">
        <v>378</v>
      </c>
      <c r="C14" s="385">
        <v>4</v>
      </c>
      <c r="D14" s="195"/>
      <c r="E14" s="195"/>
      <c r="G14" s="374"/>
      <c r="H14" s="195"/>
      <c r="I14" s="385"/>
      <c r="J14" s="195"/>
      <c r="K14" s="195"/>
    </row>
    <row r="15" spans="1:13">
      <c r="A15" s="374"/>
      <c r="B15" s="195"/>
      <c r="C15" s="385"/>
      <c r="D15" s="195"/>
      <c r="E15" s="195"/>
      <c r="G15" s="373" t="s">
        <v>379</v>
      </c>
      <c r="H15" s="376" t="s">
        <v>380</v>
      </c>
      <c r="I15" s="379" t="s">
        <v>14</v>
      </c>
      <c r="J15" s="380">
        <f>SUM(I15:I18)</f>
        <v>11</v>
      </c>
      <c r="K15" s="380">
        <f>SUM(I16:I19)</f>
        <v>11</v>
      </c>
      <c r="M15" s="225" t="s">
        <v>420</v>
      </c>
    </row>
    <row r="16" spans="1:13">
      <c r="A16" s="373" t="s">
        <v>379</v>
      </c>
      <c r="B16" s="376" t="s">
        <v>380</v>
      </c>
      <c r="C16" s="379" t="s">
        <v>14</v>
      </c>
      <c r="D16" s="380">
        <f>SUM(C16:C19)</f>
        <v>18</v>
      </c>
      <c r="E16" s="380"/>
      <c r="G16" s="371">
        <v>9</v>
      </c>
      <c r="H16" s="198" t="s">
        <v>421</v>
      </c>
      <c r="I16" s="384">
        <v>2</v>
      </c>
      <c r="J16" s="195"/>
      <c r="K16" s="195"/>
      <c r="L16" t="s">
        <v>14</v>
      </c>
    </row>
    <row r="17" spans="1:13">
      <c r="A17" s="371" t="s">
        <v>381</v>
      </c>
      <c r="B17" s="195" t="s">
        <v>382</v>
      </c>
      <c r="C17" s="385">
        <v>4</v>
      </c>
      <c r="D17" s="195"/>
      <c r="E17" s="195"/>
      <c r="G17" s="371">
        <v>10</v>
      </c>
      <c r="H17" s="198" t="s">
        <v>422</v>
      </c>
      <c r="I17" s="385">
        <v>4</v>
      </c>
      <c r="J17" s="195"/>
      <c r="K17" s="195"/>
    </row>
    <row r="18" spans="1:13">
      <c r="A18" s="371" t="s">
        <v>383</v>
      </c>
      <c r="B18" s="195" t="s">
        <v>384</v>
      </c>
      <c r="C18" s="385">
        <v>4</v>
      </c>
      <c r="D18" s="195"/>
      <c r="E18" s="195"/>
      <c r="G18" s="374">
        <v>11</v>
      </c>
      <c r="H18" s="198" t="s">
        <v>385</v>
      </c>
      <c r="I18" s="385">
        <v>5</v>
      </c>
      <c r="J18" s="195"/>
      <c r="K18" s="195"/>
    </row>
    <row r="19" spans="1:13">
      <c r="A19" s="374">
        <v>10</v>
      </c>
      <c r="B19" s="198" t="s">
        <v>385</v>
      </c>
      <c r="C19" s="385">
        <v>10</v>
      </c>
      <c r="D19" s="195"/>
      <c r="E19" s="195"/>
      <c r="G19" s="374"/>
      <c r="H19" s="195"/>
      <c r="I19" s="385"/>
      <c r="J19" s="195"/>
      <c r="K19" s="195"/>
    </row>
    <row r="20" spans="1:13">
      <c r="A20" s="374"/>
      <c r="B20" s="195"/>
      <c r="C20" s="385"/>
      <c r="D20" s="195"/>
      <c r="E20" s="195"/>
      <c r="G20" s="373" t="s">
        <v>386</v>
      </c>
      <c r="H20" s="380" t="s">
        <v>387</v>
      </c>
      <c r="I20" s="379"/>
      <c r="J20" s="380">
        <f>SUM(I21:I24)</f>
        <v>22</v>
      </c>
      <c r="K20" s="380">
        <f>SUM(I21:I25)</f>
        <v>27</v>
      </c>
      <c r="M20" s="225" t="s">
        <v>423</v>
      </c>
    </row>
    <row r="21" spans="1:13">
      <c r="A21" s="373" t="s">
        <v>386</v>
      </c>
      <c r="B21" s="380" t="s">
        <v>387</v>
      </c>
      <c r="C21" s="379"/>
      <c r="D21" s="380">
        <f>SUM(C22:C25)</f>
        <v>26</v>
      </c>
      <c r="E21" s="380"/>
      <c r="G21" s="374">
        <v>12</v>
      </c>
      <c r="H21" s="195" t="s">
        <v>388</v>
      </c>
      <c r="I21" s="385">
        <v>5</v>
      </c>
      <c r="J21" s="198" t="s">
        <v>14</v>
      </c>
      <c r="K21" s="195"/>
    </row>
    <row r="22" spans="1:13">
      <c r="A22" s="374">
        <v>11</v>
      </c>
      <c r="B22" s="195" t="s">
        <v>388</v>
      </c>
      <c r="C22" s="385">
        <v>5</v>
      </c>
      <c r="D22" s="198" t="s">
        <v>14</v>
      </c>
      <c r="E22" s="195"/>
      <c r="G22" s="374">
        <v>13</v>
      </c>
      <c r="H22" s="195" t="s">
        <v>389</v>
      </c>
      <c r="I22" s="385">
        <v>4</v>
      </c>
      <c r="J22" s="195"/>
      <c r="K22" s="195"/>
    </row>
    <row r="23" spans="1:13" ht="28.5" customHeight="1">
      <c r="A23" s="374">
        <v>12</v>
      </c>
      <c r="B23" s="195" t="s">
        <v>389</v>
      </c>
      <c r="C23" s="385">
        <v>4</v>
      </c>
      <c r="D23" s="195"/>
      <c r="E23" s="195"/>
      <c r="G23" s="374">
        <v>14</v>
      </c>
      <c r="H23" s="397" t="s">
        <v>390</v>
      </c>
      <c r="I23" s="385">
        <v>11</v>
      </c>
      <c r="J23" s="195"/>
      <c r="K23" s="195"/>
    </row>
    <row r="24" spans="1:13">
      <c r="A24" s="374">
        <v>13</v>
      </c>
      <c r="B24" s="195" t="s">
        <v>390</v>
      </c>
      <c r="C24" s="385">
        <v>12</v>
      </c>
      <c r="D24" s="195"/>
      <c r="E24" s="195"/>
      <c r="G24" s="374">
        <v>15</v>
      </c>
      <c r="H24" s="400" t="s">
        <v>424</v>
      </c>
      <c r="I24" s="385">
        <v>2</v>
      </c>
      <c r="J24" s="195"/>
      <c r="K24" s="195"/>
    </row>
    <row r="25" spans="1:13">
      <c r="A25" s="374">
        <v>14</v>
      </c>
      <c r="B25" s="195" t="s">
        <v>391</v>
      </c>
      <c r="C25" s="385">
        <v>5</v>
      </c>
      <c r="D25" s="195"/>
      <c r="E25" s="195"/>
      <c r="G25" s="374">
        <v>16</v>
      </c>
      <c r="H25" s="198" t="s">
        <v>425</v>
      </c>
      <c r="I25" s="385">
        <v>5</v>
      </c>
      <c r="J25" s="195"/>
      <c r="K25" s="195"/>
    </row>
    <row r="26" spans="1:13">
      <c r="A26" s="374"/>
      <c r="B26" s="195"/>
      <c r="C26" s="385"/>
      <c r="D26" s="195"/>
      <c r="E26" s="195"/>
      <c r="G26" s="373" t="s">
        <v>392</v>
      </c>
      <c r="H26" s="380" t="s">
        <v>393</v>
      </c>
      <c r="I26" s="379"/>
      <c r="J26" s="380">
        <f>SUM(I27:I29)</f>
        <v>12</v>
      </c>
      <c r="K26" s="380">
        <f>SUM(H27:I31)</f>
        <v>22</v>
      </c>
      <c r="M26" s="225" t="s">
        <v>426</v>
      </c>
    </row>
    <row r="27" spans="1:13">
      <c r="A27" s="373" t="s">
        <v>392</v>
      </c>
      <c r="B27" s="380" t="s">
        <v>393</v>
      </c>
      <c r="C27" s="379"/>
      <c r="D27" s="380">
        <f>SUM(C28:C30)</f>
        <v>17</v>
      </c>
      <c r="E27" s="380"/>
      <c r="G27" s="374">
        <v>17</v>
      </c>
      <c r="H27" s="195" t="s">
        <v>394</v>
      </c>
      <c r="I27" s="385">
        <v>2</v>
      </c>
      <c r="J27" s="198" t="s">
        <v>14</v>
      </c>
      <c r="K27" s="195"/>
    </row>
    <row r="28" spans="1:13">
      <c r="A28" s="374">
        <v>15</v>
      </c>
      <c r="B28" s="195" t="s">
        <v>394</v>
      </c>
      <c r="C28" s="385">
        <v>2</v>
      </c>
      <c r="D28" s="198" t="s">
        <v>14</v>
      </c>
      <c r="E28" s="195"/>
      <c r="G28" s="374">
        <v>18</v>
      </c>
      <c r="H28" s="195" t="s">
        <v>395</v>
      </c>
      <c r="I28" s="385">
        <v>5</v>
      </c>
      <c r="K28" s="195"/>
    </row>
    <row r="29" spans="1:13">
      <c r="A29" s="374">
        <v>16</v>
      </c>
      <c r="B29" s="195" t="s">
        <v>395</v>
      </c>
      <c r="C29" s="385">
        <v>5</v>
      </c>
      <c r="E29" s="195"/>
      <c r="G29" s="374">
        <v>19</v>
      </c>
      <c r="H29" s="198" t="s">
        <v>427</v>
      </c>
      <c r="I29" s="385">
        <v>5</v>
      </c>
      <c r="J29" s="195"/>
      <c r="K29" s="195"/>
    </row>
    <row r="30" spans="1:13" ht="30" customHeight="1">
      <c r="A30" s="374">
        <v>17</v>
      </c>
      <c r="B30" s="397" t="s">
        <v>396</v>
      </c>
      <c r="C30" s="374">
        <v>10</v>
      </c>
      <c r="D30" s="397"/>
      <c r="E30" s="397"/>
      <c r="F30" s="8"/>
      <c r="G30" s="374">
        <v>20</v>
      </c>
      <c r="H30" s="400" t="s">
        <v>428</v>
      </c>
      <c r="I30" s="371">
        <v>5</v>
      </c>
      <c r="J30" s="195"/>
      <c r="K30" s="195"/>
    </row>
    <row r="31" spans="1:13" ht="25.5">
      <c r="A31" s="374"/>
      <c r="B31" s="195"/>
      <c r="C31" s="384" t="s">
        <v>14</v>
      </c>
      <c r="D31" s="195"/>
      <c r="E31" s="195"/>
      <c r="G31" s="374">
        <v>21</v>
      </c>
      <c r="H31" s="401" t="s">
        <v>429</v>
      </c>
      <c r="I31" s="371">
        <v>5</v>
      </c>
      <c r="J31" s="195"/>
      <c r="K31" s="195"/>
    </row>
    <row r="32" spans="1:13" ht="18.75" customHeight="1">
      <c r="A32" s="373" t="s">
        <v>397</v>
      </c>
      <c r="B32" s="380" t="s">
        <v>398</v>
      </c>
      <c r="C32" s="379"/>
      <c r="D32" s="380">
        <f>SUM(C33:C36)</f>
        <v>25</v>
      </c>
      <c r="E32" s="380"/>
      <c r="G32" s="373" t="s">
        <v>397</v>
      </c>
      <c r="H32" s="402" t="s">
        <v>430</v>
      </c>
      <c r="I32" s="379"/>
      <c r="J32" s="380"/>
      <c r="K32" s="380">
        <f>SUM(I33:I35)</f>
        <v>14</v>
      </c>
      <c r="M32" s="404" t="s">
        <v>431</v>
      </c>
    </row>
    <row r="33" spans="1:13">
      <c r="A33" s="374">
        <v>18</v>
      </c>
      <c r="B33" s="195" t="s">
        <v>399</v>
      </c>
      <c r="C33" s="385">
        <v>5</v>
      </c>
      <c r="D33" s="198" t="s">
        <v>14</v>
      </c>
      <c r="E33" s="195"/>
      <c r="G33" s="374">
        <v>22</v>
      </c>
      <c r="H33" s="401" t="s">
        <v>432</v>
      </c>
      <c r="I33" s="371">
        <v>6</v>
      </c>
      <c r="J33" s="195"/>
      <c r="K33" s="195"/>
    </row>
    <row r="34" spans="1:13">
      <c r="A34" s="374">
        <v>19</v>
      </c>
      <c r="B34" s="195" t="s">
        <v>400</v>
      </c>
      <c r="C34" s="385">
        <v>5</v>
      </c>
      <c r="D34" s="195"/>
      <c r="E34" s="195"/>
      <c r="G34" s="374">
        <v>23</v>
      </c>
      <c r="H34" s="225" t="s">
        <v>433</v>
      </c>
      <c r="I34" s="371">
        <v>3</v>
      </c>
      <c r="J34" s="195"/>
      <c r="K34" s="195"/>
    </row>
    <row r="35" spans="1:13">
      <c r="A35" s="374">
        <v>20</v>
      </c>
      <c r="B35" s="195" t="s">
        <v>401</v>
      </c>
      <c r="C35" s="385">
        <v>5</v>
      </c>
      <c r="D35" s="195"/>
      <c r="E35" s="195"/>
      <c r="G35" s="374">
        <v>24</v>
      </c>
      <c r="H35" s="401" t="s">
        <v>434</v>
      </c>
      <c r="I35" s="371">
        <v>5</v>
      </c>
      <c r="J35" s="195"/>
      <c r="K35" s="195"/>
    </row>
    <row r="36" spans="1:13">
      <c r="A36" s="374">
        <v>21</v>
      </c>
      <c r="B36" s="195" t="s">
        <v>402</v>
      </c>
      <c r="C36" s="385">
        <v>10</v>
      </c>
      <c r="D36" s="195"/>
      <c r="E36" s="195"/>
      <c r="G36" s="374"/>
      <c r="H36" s="401"/>
      <c r="I36" s="371"/>
      <c r="J36" s="195"/>
      <c r="K36" s="195"/>
    </row>
    <row r="37" spans="1:13">
      <c r="A37" s="374"/>
      <c r="B37" s="195"/>
      <c r="C37" s="385"/>
      <c r="D37" s="195"/>
      <c r="E37" s="195"/>
      <c r="G37" s="373" t="s">
        <v>435</v>
      </c>
      <c r="H37" s="380" t="s">
        <v>398</v>
      </c>
      <c r="I37" s="379"/>
      <c r="J37" s="380">
        <f>SUM(I38:I41)</f>
        <v>25</v>
      </c>
      <c r="K37" s="380">
        <f>SUM(I38:I42)</f>
        <v>25</v>
      </c>
      <c r="M37" s="225" t="s">
        <v>436</v>
      </c>
    </row>
    <row r="38" spans="1:13" ht="24" customHeight="1">
      <c r="A38" s="373" t="s">
        <v>403</v>
      </c>
      <c r="B38" s="369" t="s">
        <v>404</v>
      </c>
      <c r="C38" s="379" t="s">
        <v>14</v>
      </c>
      <c r="D38" s="380">
        <f>SUM(C39:C40)</f>
        <v>16</v>
      </c>
      <c r="E38" s="380"/>
      <c r="G38" s="374">
        <v>25</v>
      </c>
      <c r="H38" s="397" t="s">
        <v>399</v>
      </c>
      <c r="I38" s="385">
        <v>5</v>
      </c>
      <c r="J38" s="198" t="s">
        <v>14</v>
      </c>
      <c r="K38" s="195"/>
    </row>
    <row r="39" spans="1:13">
      <c r="A39" s="374">
        <v>22</v>
      </c>
      <c r="B39" s="195" t="s">
        <v>437</v>
      </c>
      <c r="C39" s="384">
        <v>8</v>
      </c>
      <c r="D39" s="195"/>
      <c r="E39" s="195"/>
      <c r="G39" s="374">
        <v>26</v>
      </c>
      <c r="H39" s="195" t="s">
        <v>400</v>
      </c>
      <c r="I39" s="385">
        <v>5</v>
      </c>
      <c r="J39" s="195"/>
      <c r="K39" s="195"/>
    </row>
    <row r="40" spans="1:13">
      <c r="A40" s="374">
        <v>23</v>
      </c>
      <c r="B40" s="195" t="s">
        <v>409</v>
      </c>
      <c r="C40" s="385">
        <v>8</v>
      </c>
      <c r="D40" s="195"/>
      <c r="E40" s="195"/>
      <c r="G40" s="374">
        <v>27</v>
      </c>
      <c r="H40" s="195" t="s">
        <v>401</v>
      </c>
      <c r="I40" s="385">
        <v>5</v>
      </c>
      <c r="J40" s="195"/>
      <c r="K40" s="195"/>
    </row>
    <row r="41" spans="1:13">
      <c r="A41" s="368" t="s">
        <v>410</v>
      </c>
      <c r="B41" s="367"/>
      <c r="C41" s="367"/>
      <c r="D41" s="366">
        <f>SUM(D3:D40)</f>
        <v>200</v>
      </c>
      <c r="E41" s="367"/>
      <c r="G41" s="374">
        <v>28</v>
      </c>
      <c r="H41" s="195" t="s">
        <v>402</v>
      </c>
      <c r="I41" s="385">
        <v>10</v>
      </c>
      <c r="J41" s="195"/>
      <c r="K41" s="195"/>
    </row>
    <row r="42" spans="1:13">
      <c r="G42" s="374"/>
      <c r="H42" s="195"/>
      <c r="I42" s="385"/>
      <c r="J42" s="195"/>
      <c r="K42" s="195"/>
    </row>
    <row r="43" spans="1:13">
      <c r="G43" s="373" t="s">
        <v>438</v>
      </c>
      <c r="H43" s="369" t="s">
        <v>404</v>
      </c>
      <c r="I43" s="379" t="s">
        <v>14</v>
      </c>
      <c r="J43" s="380">
        <f>SUM(I44:I45)</f>
        <v>13</v>
      </c>
      <c r="K43" s="380">
        <f>SUM(I44:I45)</f>
        <v>13</v>
      </c>
      <c r="M43" s="225" t="s">
        <v>415</v>
      </c>
    </row>
    <row r="44" spans="1:13">
      <c r="G44" s="374">
        <v>29</v>
      </c>
      <c r="H44" s="195" t="s">
        <v>437</v>
      </c>
      <c r="I44" s="384">
        <v>5</v>
      </c>
      <c r="J44" s="195"/>
      <c r="K44" s="195"/>
    </row>
    <row r="45" spans="1:13">
      <c r="G45" s="374">
        <v>30</v>
      </c>
      <c r="H45" s="195" t="s">
        <v>439</v>
      </c>
      <c r="I45" s="385">
        <v>8</v>
      </c>
      <c r="J45" s="195"/>
      <c r="K45" s="195"/>
    </row>
    <row r="46" spans="1:13">
      <c r="G46" s="368" t="s">
        <v>410</v>
      </c>
      <c r="H46" s="367"/>
      <c r="I46" s="367"/>
      <c r="J46" s="366">
        <f>SUM(J3:J45)</f>
        <v>171</v>
      </c>
      <c r="K46" s="366">
        <f>SUM(K3:K45)</f>
        <v>200</v>
      </c>
    </row>
  </sheetData>
  <mergeCells count="2">
    <mergeCell ref="A1:E1"/>
    <mergeCell ref="G1:K1"/>
  </mergeCells>
  <pageMargins left="1" right="1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"/>
  <sheetViews>
    <sheetView zoomScale="80" zoomScaleNormal="80" workbookViewId="0" xr3:uid="{51F8DEE0-4D01-5F28-A812-FC0BD7CAC4A5}">
      <selection activeCell="D1" sqref="D1"/>
    </sheetView>
  </sheetViews>
  <sheetFormatPr defaultColWidth="8.85546875" defaultRowHeight="12.75"/>
  <cols>
    <col min="1" max="1" width="12.5703125" customWidth="1"/>
    <col min="2" max="2" width="11.5703125" customWidth="1"/>
    <col min="4" max="4" width="56.7109375" customWidth="1"/>
  </cols>
  <sheetData>
    <row r="1" spans="1:4">
      <c r="A1" s="225" t="s">
        <v>153</v>
      </c>
      <c r="B1" s="225" t="s">
        <v>25</v>
      </c>
      <c r="C1" s="225" t="s">
        <v>440</v>
      </c>
      <c r="D1" s="240" t="s">
        <v>441</v>
      </c>
    </row>
    <row r="2" spans="1:4">
      <c r="A2" t="b">
        <v>1</v>
      </c>
      <c r="B2" s="225" t="s">
        <v>442</v>
      </c>
      <c r="C2" s="225" t="s">
        <v>443</v>
      </c>
      <c r="D2" s="240" t="s">
        <v>444</v>
      </c>
    </row>
    <row r="3" spans="1:4">
      <c r="A3" t="b">
        <v>0</v>
      </c>
      <c r="B3" s="225" t="s">
        <v>445</v>
      </c>
      <c r="C3" s="225" t="s">
        <v>446</v>
      </c>
      <c r="D3" s="240" t="s">
        <v>447</v>
      </c>
    </row>
    <row r="4" spans="1:4">
      <c r="C4" s="225" t="s">
        <v>448</v>
      </c>
      <c r="D4" s="240" t="s">
        <v>449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Community Research Foundation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Christenson</dc:creator>
  <cp:keywords/>
  <dc:description/>
  <cp:lastModifiedBy>Patricia Leslie</cp:lastModifiedBy>
  <cp:revision/>
  <dcterms:created xsi:type="dcterms:W3CDTF">2008-10-09T21:52:55Z</dcterms:created>
  <dcterms:modified xsi:type="dcterms:W3CDTF">2017-08-14T22:13:48Z</dcterms:modified>
  <cp:category/>
  <cp:contentStatus/>
</cp:coreProperties>
</file>