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240" windowWidth="16890" windowHeight="7730" tabRatio="563"/>
  </bookViews>
  <sheets>
    <sheet name="Permanent Supportive Housing" sheetId="10" r:id="rId1"/>
    <sheet name="PSH points tally" sheetId="11" r:id="rId2"/>
    <sheet name="Ranges" sheetId="12" r:id="rId3"/>
    <sheet name="2016 2017 Scores Cross Walk" sheetId="13" r:id="rId4"/>
  </sheets>
  <definedNames>
    <definedName name="bedutil">Ranges!$D$1:$D$4</definedName>
    <definedName name="_xlnm.Print_Area" localSheetId="0">'Permanent Supportive Housing'!$A$1:$H$256</definedName>
    <definedName name="_xlnm.Print_Titles" localSheetId="0">'Permanent Supportive Housing'!$1:$1</definedName>
    <definedName name="tf">Ranges!$A$1:$A$3</definedName>
    <definedName name="yn">Ranges!$B$1:$B$3</definedName>
  </definedNames>
  <calcPr calcId="125725"/>
</workbook>
</file>

<file path=xl/calcChain.xml><?xml version="1.0" encoding="utf-8"?>
<calcChain xmlns="http://schemas.openxmlformats.org/spreadsheetml/2006/main">
  <c r="C150" i="10"/>
  <c r="B150"/>
  <c r="C252"/>
  <c r="G255"/>
  <c r="C151"/>
  <c r="B96"/>
  <c r="B94"/>
  <c r="C35"/>
  <c r="A149"/>
  <c r="A150"/>
  <c r="C77"/>
  <c r="C266"/>
  <c r="A115"/>
  <c r="B111"/>
  <c r="B110"/>
  <c r="B109"/>
  <c r="B108"/>
  <c r="B106"/>
  <c r="B105"/>
  <c r="B104"/>
  <c r="B103"/>
  <c r="B97"/>
  <c r="B95"/>
  <c r="A94"/>
  <c r="C206"/>
  <c r="C32"/>
  <c r="B99"/>
  <c r="B149"/>
  <c r="C68"/>
  <c r="C62"/>
  <c r="D21"/>
  <c r="D277"/>
  <c r="D276"/>
  <c r="D275"/>
  <c r="D20"/>
  <c r="D16"/>
  <c r="D14"/>
  <c r="D18"/>
  <c r="J18"/>
  <c r="D38" i="13"/>
  <c r="D32"/>
  <c r="D25"/>
  <c r="D19"/>
  <c r="D13"/>
  <c r="D3"/>
  <c r="D41"/>
  <c r="D13" i="10"/>
  <c r="C176"/>
  <c r="C169"/>
  <c r="C160"/>
  <c r="H214"/>
  <c r="H181"/>
  <c r="H88"/>
  <c r="D85"/>
  <c r="E94"/>
  <c r="E103"/>
  <c r="D278"/>
  <c r="H24"/>
  <c r="D272"/>
  <c r="J167"/>
  <c r="A93"/>
  <c r="A102"/>
  <c r="B119"/>
  <c r="A119"/>
  <c r="D117"/>
  <c r="B117"/>
  <c r="A117"/>
  <c r="B116"/>
  <c r="A116"/>
  <c r="B115"/>
  <c r="B113"/>
  <c r="A113"/>
  <c r="D112"/>
  <c r="B112"/>
  <c r="A108"/>
  <c r="D107"/>
  <c r="B107"/>
  <c r="A103"/>
  <c r="B100"/>
  <c r="A100"/>
  <c r="A99"/>
  <c r="D98"/>
  <c r="D100"/>
  <c r="B98"/>
  <c r="D113"/>
  <c r="D119"/>
  <c r="H103"/>
  <c r="H94"/>
  <c r="D90"/>
  <c r="C241"/>
  <c r="C208"/>
  <c r="J207"/>
  <c r="F206"/>
  <c r="D207"/>
  <c r="F207"/>
  <c r="G207"/>
  <c r="C200"/>
  <c r="C191"/>
  <c r="C186"/>
  <c r="D183"/>
  <c r="C175"/>
  <c r="C177"/>
  <c r="C142"/>
  <c r="C168"/>
  <c r="C170"/>
  <c r="G168"/>
  <c r="C78"/>
  <c r="G78"/>
  <c r="C69"/>
  <c r="G72"/>
  <c r="C61"/>
  <c r="C63"/>
  <c r="J267"/>
  <c r="H265"/>
  <c r="H266"/>
  <c r="H267"/>
  <c r="H268"/>
  <c r="H269"/>
  <c r="C135"/>
  <c r="G131"/>
  <c r="C127"/>
  <c r="G123"/>
  <c r="C125"/>
  <c r="C133"/>
  <c r="C33"/>
  <c r="G32"/>
  <c r="C39"/>
  <c r="C40"/>
  <c r="C131"/>
  <c r="C123"/>
  <c r="D39"/>
  <c r="D37"/>
  <c r="H145"/>
  <c r="C159"/>
  <c r="C161"/>
  <c r="F134"/>
  <c r="K133"/>
  <c r="K134"/>
  <c r="F133"/>
  <c r="D133"/>
  <c r="F132"/>
  <c r="D132"/>
  <c r="D131"/>
  <c r="D80"/>
  <c r="G51"/>
  <c r="F51"/>
  <c r="D52"/>
  <c r="D56"/>
  <c r="G132"/>
  <c r="G134"/>
  <c r="G133"/>
  <c r="G264"/>
  <c r="G250"/>
  <c r="G75"/>
  <c r="J61"/>
  <c r="F59"/>
  <c r="D60"/>
  <c r="H9"/>
  <c r="D240"/>
  <c r="C240"/>
  <c r="D245"/>
  <c r="D251"/>
  <c r="J251"/>
  <c r="J252"/>
  <c r="J253"/>
  <c r="J254"/>
  <c r="H251"/>
  <c r="H252"/>
  <c r="H253"/>
  <c r="H254"/>
  <c r="H255"/>
  <c r="D259"/>
  <c r="D260"/>
  <c r="D265"/>
  <c r="F265"/>
  <c r="G189"/>
  <c r="D190"/>
  <c r="J190"/>
  <c r="J199"/>
  <c r="F199"/>
  <c r="G198"/>
  <c r="F156"/>
  <c r="D157"/>
  <c r="F164"/>
  <c r="D165"/>
  <c r="J174"/>
  <c r="F173"/>
  <c r="J149"/>
  <c r="J150"/>
  <c r="J32"/>
  <c r="H28"/>
  <c r="H29"/>
  <c r="H30"/>
  <c r="H31"/>
  <c r="H32"/>
  <c r="J45"/>
  <c r="F43"/>
  <c r="D44"/>
  <c r="G43"/>
  <c r="J47"/>
  <c r="J48"/>
  <c r="H44"/>
  <c r="H45"/>
  <c r="H46"/>
  <c r="H47"/>
  <c r="H48"/>
  <c r="J56"/>
  <c r="H52"/>
  <c r="H53"/>
  <c r="H54"/>
  <c r="H55"/>
  <c r="H56"/>
  <c r="J63"/>
  <c r="J64"/>
  <c r="H68"/>
  <c r="J68"/>
  <c r="J69"/>
  <c r="F76"/>
  <c r="D77"/>
  <c r="J77"/>
  <c r="J78"/>
  <c r="H76"/>
  <c r="H77"/>
  <c r="H78"/>
  <c r="D123"/>
  <c r="F124"/>
  <c r="D124"/>
  <c r="D125"/>
  <c r="F125"/>
  <c r="F126"/>
  <c r="C143"/>
  <c r="H140"/>
  <c r="D137"/>
  <c r="C140"/>
  <c r="J200"/>
  <c r="J201"/>
  <c r="H199"/>
  <c r="H200"/>
  <c r="H201"/>
  <c r="H202"/>
  <c r="H203"/>
  <c r="J208"/>
  <c r="J209"/>
  <c r="H207"/>
  <c r="H208"/>
  <c r="H209"/>
  <c r="H210"/>
  <c r="H211"/>
  <c r="J191"/>
  <c r="J192"/>
  <c r="H190"/>
  <c r="H191"/>
  <c r="H192"/>
  <c r="H193"/>
  <c r="H194"/>
  <c r="H165"/>
  <c r="H166"/>
  <c r="H167"/>
  <c r="H168"/>
  <c r="D246"/>
  <c r="J176"/>
  <c r="J177"/>
  <c r="H174"/>
  <c r="H175"/>
  <c r="H176"/>
  <c r="H177"/>
  <c r="H178"/>
  <c r="J159"/>
  <c r="J160"/>
  <c r="H157"/>
  <c r="H158"/>
  <c r="H159"/>
  <c r="H160"/>
  <c r="D38" i="11"/>
  <c r="D32"/>
  <c r="D25"/>
  <c r="D19"/>
  <c r="D13"/>
  <c r="D3"/>
  <c r="J151" i="10"/>
  <c r="J152"/>
  <c r="H149"/>
  <c r="H150"/>
  <c r="H151"/>
  <c r="H152"/>
  <c r="H153"/>
  <c r="K125"/>
  <c r="K126"/>
  <c r="J70"/>
  <c r="J71"/>
  <c r="J55"/>
  <c r="J31"/>
  <c r="D42" i="11"/>
  <c r="G153" i="10"/>
  <c r="D129"/>
  <c r="G31"/>
  <c r="G64"/>
  <c r="J46"/>
  <c r="F44"/>
  <c r="D45"/>
  <c r="J175"/>
  <c r="J62"/>
  <c r="F60"/>
  <c r="D61"/>
  <c r="F61"/>
  <c r="D62"/>
  <c r="F62"/>
  <c r="D63"/>
  <c r="F148"/>
  <c r="G148"/>
  <c r="G178"/>
  <c r="F190"/>
  <c r="G190"/>
  <c r="F67"/>
  <c r="G67"/>
  <c r="H60"/>
  <c r="H61"/>
  <c r="H62"/>
  <c r="H63"/>
  <c r="H64"/>
  <c r="G164"/>
  <c r="F165"/>
  <c r="D166"/>
  <c r="F166"/>
  <c r="D167"/>
  <c r="F167"/>
  <c r="D168"/>
  <c r="H124"/>
  <c r="H125"/>
  <c r="H126"/>
  <c r="H132"/>
  <c r="H133"/>
  <c r="H134"/>
  <c r="C242"/>
  <c r="G246"/>
  <c r="G124"/>
  <c r="F77"/>
  <c r="D78"/>
  <c r="D266"/>
  <c r="F266"/>
  <c r="F251"/>
  <c r="D252"/>
  <c r="F157"/>
  <c r="D158"/>
  <c r="D174"/>
  <c r="G125"/>
  <c r="G126"/>
  <c r="H69"/>
  <c r="H70"/>
  <c r="H71"/>
  <c r="H72"/>
  <c r="D257"/>
  <c r="G199"/>
  <c r="D200"/>
  <c r="G76"/>
  <c r="F52"/>
  <c r="D53"/>
  <c r="D121"/>
  <c r="D88"/>
  <c r="G27"/>
  <c r="G30"/>
  <c r="G28"/>
  <c r="G29"/>
  <c r="G59"/>
  <c r="G61"/>
  <c r="G60"/>
  <c r="D149"/>
  <c r="F149"/>
  <c r="D150"/>
  <c r="G244"/>
  <c r="G165"/>
  <c r="G173"/>
  <c r="G245"/>
  <c r="D191"/>
  <c r="G167"/>
  <c r="G166"/>
  <c r="D68"/>
  <c r="F68"/>
  <c r="D69"/>
  <c r="F191"/>
  <c r="D192"/>
  <c r="F192"/>
  <c r="D193"/>
  <c r="F193"/>
  <c r="D194"/>
  <c r="G62"/>
  <c r="F252"/>
  <c r="D253"/>
  <c r="G156"/>
  <c r="G160"/>
  <c r="F174"/>
  <c r="D175"/>
  <c r="D267"/>
  <c r="F267"/>
  <c r="F45"/>
  <c r="D46"/>
  <c r="F63"/>
  <c r="D64"/>
  <c r="G265"/>
  <c r="G44"/>
  <c r="G77"/>
  <c r="D74"/>
  <c r="F158"/>
  <c r="D159"/>
  <c r="F200"/>
  <c r="D201"/>
  <c r="D208"/>
  <c r="G157"/>
  <c r="G251"/>
  <c r="G52"/>
  <c r="F53"/>
  <c r="D54"/>
  <c r="D26"/>
  <c r="G266"/>
  <c r="D216"/>
  <c r="G158"/>
  <c r="G149"/>
  <c r="G68"/>
  <c r="G191"/>
  <c r="G192"/>
  <c r="G174"/>
  <c r="G252"/>
  <c r="G53"/>
  <c r="G45"/>
  <c r="F201"/>
  <c r="D202"/>
  <c r="F194"/>
  <c r="G194"/>
  <c r="D268"/>
  <c r="F268"/>
  <c r="F253"/>
  <c r="D254"/>
  <c r="G200"/>
  <c r="G193"/>
  <c r="F69"/>
  <c r="D70"/>
  <c r="F46"/>
  <c r="D47"/>
  <c r="F175"/>
  <c r="D176"/>
  <c r="F150"/>
  <c r="D151"/>
  <c r="F208"/>
  <c r="D209"/>
  <c r="F159"/>
  <c r="D160"/>
  <c r="G63"/>
  <c r="D58"/>
  <c r="F54"/>
  <c r="D55"/>
  <c r="G175"/>
  <c r="G253"/>
  <c r="D188"/>
  <c r="G267"/>
  <c r="G46"/>
  <c r="F151"/>
  <c r="D152"/>
  <c r="F209"/>
  <c r="D210"/>
  <c r="G150"/>
  <c r="F47"/>
  <c r="D48"/>
  <c r="G48"/>
  <c r="F70"/>
  <c r="D71"/>
  <c r="F202"/>
  <c r="D203"/>
  <c r="G69"/>
  <c r="D269"/>
  <c r="G269"/>
  <c r="G159"/>
  <c r="D155"/>
  <c r="F176"/>
  <c r="D177"/>
  <c r="F254"/>
  <c r="D255"/>
  <c r="G201"/>
  <c r="G54"/>
  <c r="F55"/>
  <c r="G56"/>
  <c r="G202"/>
  <c r="G254"/>
  <c r="D248"/>
  <c r="G268"/>
  <c r="D262"/>
  <c r="G151"/>
  <c r="G176"/>
  <c r="G47"/>
  <c r="D42"/>
  <c r="G55"/>
  <c r="D50"/>
  <c r="G70"/>
  <c r="F210"/>
  <c r="D211"/>
  <c r="F177"/>
  <c r="D178"/>
  <c r="F178"/>
  <c r="F203"/>
  <c r="G203"/>
  <c r="F71"/>
  <c r="D72"/>
  <c r="F152"/>
  <c r="D153"/>
  <c r="D214"/>
  <c r="D197"/>
  <c r="G152"/>
  <c r="D147"/>
  <c r="G177"/>
  <c r="D172"/>
  <c r="G71"/>
  <c r="D66"/>
  <c r="D24"/>
  <c r="D163"/>
  <c r="D145"/>
  <c r="G211"/>
  <c r="G209"/>
  <c r="G208"/>
  <c r="G206"/>
  <c r="G210"/>
  <c r="D205"/>
  <c r="D181"/>
  <c r="D9"/>
</calcChain>
</file>

<file path=xl/sharedStrings.xml><?xml version="1.0" encoding="utf-8"?>
<sst xmlns="http://schemas.openxmlformats.org/spreadsheetml/2006/main" count="840" uniqueCount="403">
  <si>
    <r>
      <t>NOTICE: Use HMIS (Homeless Management Information System) Data from</t>
    </r>
    <r>
      <rPr>
        <b/>
        <sz val="14"/>
        <color rgb="FFFFFF00"/>
        <rFont val="Arial"/>
        <family val="2"/>
      </rPr>
      <t xml:space="preserve"> </t>
    </r>
    <r>
      <rPr>
        <b/>
        <sz val="14"/>
        <rFont val="Arial"/>
        <family val="2"/>
      </rPr>
      <t>Oct 1, 2015 - Sept. 30, 2016</t>
    </r>
  </si>
  <si>
    <r>
      <t xml:space="preserve">Green cells are input cells for project specific information. Other cells are self-populating, pulled from other information entered within 
the workbook, and/or there to provide context, instructions, or other information to ensure transparency regarding how the scoring tool works.                                                                                                                                      </t>
    </r>
    <r>
      <rPr>
        <b/>
        <sz val="10"/>
        <color rgb="FFFF0000"/>
        <rFont val="Arial"/>
        <family val="2"/>
      </rPr>
      <t>Note: APR / 0625 cell references do not include header rows or title columns.</t>
    </r>
  </si>
  <si>
    <t>Last Updated:                           August 11, 2017</t>
  </si>
  <si>
    <t>AGENCY:</t>
  </si>
  <si>
    <t>Grantee Name</t>
  </si>
  <si>
    <t>Total Number of Clients Served (APR Q 7. row 1 All Clients):</t>
  </si>
  <si>
    <t>PROJECT NAME:</t>
  </si>
  <si>
    <t>Match HMIS / GIW</t>
  </si>
  <si>
    <t>Total Number of Adults (APR Q.7 row 2 Adults Only):</t>
  </si>
  <si>
    <t>RENEWAL GRANT #:</t>
  </si>
  <si>
    <t>Must Match GIW</t>
  </si>
  <si>
    <t>Total Number of Leavers (APR Q.7 row 4 Leavers):</t>
  </si>
  <si>
    <t>PROJECT GRAND POINT TOTAL</t>
  </si>
  <si>
    <t>Points Earned</t>
  </si>
  <si>
    <t>Potential:</t>
  </si>
  <si>
    <t>CES PARTICIPATION</t>
  </si>
  <si>
    <t>Threshold Criteria</t>
  </si>
  <si>
    <t>Eligibility Item</t>
  </si>
  <si>
    <t>No potential points</t>
  </si>
  <si>
    <t>CES Project Category</t>
  </si>
  <si>
    <t>Does this project only serve DV households (100%)?</t>
  </si>
  <si>
    <t>Select yes or no</t>
  </si>
  <si>
    <t>SELECT YES OR NO</t>
  </si>
  <si>
    <t xml:space="preserve">Is this a Transitional Housing project? </t>
  </si>
  <si>
    <t xml:space="preserve">Select yes or no </t>
  </si>
  <si>
    <t>Commitment to  Coordinated Entry  (CES)?</t>
  </si>
  <si>
    <t>Has the agency formally committed to use CES? </t>
  </si>
  <si>
    <t>CES Commitment or Application</t>
  </si>
  <si>
    <t>Participation in CES Training</t>
  </si>
  <si>
    <t>Have one or more agency staff participated in formal CES training?</t>
  </si>
  <si>
    <t>RTFH records</t>
  </si>
  <si>
    <t>Agency Participation in CES Database</t>
  </si>
  <si>
    <t>Have 100% of CoC units been entered into CES ?</t>
  </si>
  <si>
    <t>CES Coordinator / HMIS records</t>
  </si>
  <si>
    <t>Will 100% of CoC vacated units be filled by CES?</t>
  </si>
  <si>
    <t>Agency signed commitment form in Dropbox</t>
  </si>
  <si>
    <t xml:space="preserve"> </t>
  </si>
  <si>
    <t>Section I: PROJECT PERFORMANCE &amp; OUTCOMES</t>
  </si>
  <si>
    <t>Section Points Earned:</t>
  </si>
  <si>
    <t>Input</t>
  </si>
  <si>
    <t>Source</t>
  </si>
  <si>
    <t>Raw Data</t>
  </si>
  <si>
    <r>
      <t xml:space="preserve">Measurement Intervals:    </t>
    </r>
    <r>
      <rPr>
        <b/>
        <i/>
        <sz val="10"/>
        <color rgb="FFFF0000"/>
        <rFont val="Arial"/>
        <family val="2"/>
      </rPr>
      <t>Include lower value but not upper value in range</t>
    </r>
  </si>
  <si>
    <t>Points
Earned</t>
  </si>
  <si>
    <t>Corresponding
Points</t>
  </si>
  <si>
    <t>Methodology</t>
  </si>
  <si>
    <t>#1a- Housing Stability Measure - Total percent clients who remained in PSH 6 months or more, OR who had an exit to other Permanent Housing (Excl. Institutional Settings/Deceased)</t>
  </si>
  <si>
    <t>Earned:</t>
  </si>
  <si>
    <t>Total # Clients for whom measure is appropriate</t>
  </si>
  <si>
    <t>APR Q36a, row 1, col 3</t>
  </si>
  <si>
    <t xml:space="preserve"> up to </t>
  </si>
  <si>
    <t>This question requires %'s to be manually updated</t>
  </si>
  <si>
    <t>Leavers to Institutional Settings - Leavers who Stayed &gt; 90 Days</t>
  </si>
  <si>
    <t>APR Q29a1, Subtotal, Col 1</t>
  </si>
  <si>
    <t>-</t>
  </si>
  <si>
    <t>Leavers to Institutional Settings - Leavers who Stayed &lt; 90 Days</t>
  </si>
  <si>
    <t>APR Q29a2, Subtotal, Col 1</t>
  </si>
  <si>
    <t>Our CoC's average performance from 2013</t>
  </si>
  <si>
    <t>Deceased - Deceased - Leavers who Stayed &gt; 90 Days</t>
  </si>
  <si>
    <t>APR Q29a1 Other Destinations, Deceased, 1st column</t>
  </si>
  <si>
    <t>Percentage increase</t>
  </si>
  <si>
    <t>Deceased - Deceased - Leavers who Stayed &lt; 90 Days</t>
  </si>
  <si>
    <t>APR Q29a2 Other Destinations, Deceased, 1st column</t>
  </si>
  <si>
    <t>Maximum Points</t>
  </si>
  <si>
    <t>Total Leavers to Institutional Settings + Deceased</t>
  </si>
  <si>
    <t xml:space="preserve"> or </t>
  </si>
  <si>
    <t>above</t>
  </si>
  <si>
    <t>Number of points awarded per interval</t>
  </si>
  <si>
    <t># for Whom Measure is Approp - Other Neutral Exits</t>
  </si>
  <si>
    <t xml:space="preserve">Total Persons who Accomplished Measure </t>
  </si>
  <si>
    <t>APR Q36a, row1, col4</t>
  </si>
  <si>
    <t>% Clients who remained in PSH for 6 months or more OR exited to other permanent housing</t>
  </si>
  <si>
    <r>
      <t xml:space="preserve">#1b - Housing Stability Improvement Measure - Leavers only 
</t>
    </r>
    <r>
      <rPr>
        <b/>
        <sz val="8"/>
        <color theme="4" tint="-0.499984740745262"/>
        <rFont val="Arial"/>
        <family val="2"/>
      </rPr>
      <t>(Change in Percentage of persons who accomplished this measure) 
Data Sources: Prior year PSH scoring tool, section 1, row 22, % Total Persons Who Accomplished Measure</t>
    </r>
  </si>
  <si>
    <r>
      <t xml:space="preserve">Percent Leavers who accomplished measure, </t>
    </r>
    <r>
      <rPr>
        <b/>
        <sz val="10"/>
        <rFont val="Arial"/>
        <family val="2"/>
      </rPr>
      <t>2016</t>
    </r>
  </si>
  <si>
    <r>
      <rPr>
        <b/>
        <sz val="10"/>
        <rFont val="Arial"/>
        <family val="2"/>
      </rPr>
      <t>2016</t>
    </r>
    <r>
      <rPr>
        <sz val="10"/>
        <rFont val="Arial"/>
        <family val="2"/>
      </rPr>
      <t xml:space="preserve"> Scoring Tool, Section 1, Q1 row 22, cell 22 C</t>
    </r>
  </si>
  <si>
    <t>If C33 &gt; C36 by 10% or more (YR 2017 vs 2016)</t>
  </si>
  <si>
    <t>Calculation (5pts)</t>
  </si>
  <si>
    <t>Or if 2016 &amp; 2017: At or above 90%</t>
  </si>
  <si>
    <t>#2 - Total Income Measure - Adults who increased their income from any source</t>
  </si>
  <si>
    <t>Total Actual Percent Persons Who Increased Total Income</t>
  </si>
  <si>
    <t>APR Q36a row 2a, column 5</t>
  </si>
  <si>
    <t xml:space="preserve">  up to </t>
  </si>
  <si>
    <t>Performance Threshold, % clients who have any kind of income.</t>
  </si>
  <si>
    <t>Half of Performance Threshold</t>
  </si>
  <si>
    <t>Five equal Intervals between half of perf threshold to 100% possible</t>
  </si>
  <si>
    <t xml:space="preserve">or </t>
  </si>
  <si>
    <t>#3 - Earned Income Measure - Adults (18 - 61) that increased their earned income</t>
  </si>
  <si>
    <t>Total Actual % Persons who Increased Employment / Earned Income</t>
  </si>
  <si>
    <t>APR Q36a row 2b, column 5</t>
  </si>
  <si>
    <t xml:space="preserve"> up to</t>
  </si>
  <si>
    <t>Performance threshold, maximum performance</t>
  </si>
  <si>
    <t>or</t>
  </si>
  <si>
    <t>#4 - Non-cash Benefits, Leavers and stayers</t>
  </si>
  <si>
    <t>Total persons leavers 1+ source(s)</t>
  </si>
  <si>
    <t>Q.26a2 row 2, column 1</t>
  </si>
  <si>
    <t>Total persons stayers 1+ source(s)</t>
  </si>
  <si>
    <t>Q.26b2 row 2, column 1</t>
  </si>
  <si>
    <t>Performance Threshold, % clients who have earned income</t>
  </si>
  <si>
    <t>Total persons with Non-Cash Benefits</t>
  </si>
  <si>
    <t>Calculation</t>
  </si>
  <si>
    <t>Total Persons</t>
  </si>
  <si>
    <t>Q7, row 2, All persons ( H5 above)</t>
  </si>
  <si>
    <t>Percent Persons with Non-Cash Benefits</t>
  </si>
  <si>
    <t>#5 - Mainstream Resources</t>
  </si>
  <si>
    <t>Total persons with mainstream resource(s)</t>
  </si>
  <si>
    <t>Q26a1, Total persons and Q26b1, Total persons</t>
  </si>
  <si>
    <t>up to</t>
  </si>
  <si>
    <t>Performance Threshold, % clients who have mainstream resources</t>
  </si>
  <si>
    <t>Total persons served</t>
  </si>
  <si>
    <t>Cell H5 Above (APR Q.7,column 1)</t>
  </si>
  <si>
    <t>Percentage persons with Mainstream Resources</t>
  </si>
  <si>
    <t>#6 - Change in Length of Stay - Increased Stability , PSH</t>
  </si>
  <si>
    <t>Average Length of Stay  2014-2015 APR</t>
  </si>
  <si>
    <t xml:space="preserve">2015 APR Q27 Stayers, column 1 </t>
  </si>
  <si>
    <t>Below</t>
  </si>
  <si>
    <t>Increase of LOS</t>
  </si>
  <si>
    <t>Average Length of Stay  2015-2016 APR</t>
  </si>
  <si>
    <t>2016 APR Q27 Stayers column 1</t>
  </si>
  <si>
    <t>Some measureable progress</t>
  </si>
  <si>
    <t>Here we want longer stay - opposite of Q7 on TH</t>
  </si>
  <si>
    <t>Comparison 2015 with 2016</t>
  </si>
  <si>
    <t xml:space="preserve"> -</t>
  </si>
  <si>
    <t>Maximum Points (HUD goal 10% or more)</t>
  </si>
  <si>
    <t>Percent Change</t>
  </si>
  <si>
    <t>Above</t>
  </si>
  <si>
    <t>Number of points per interval</t>
  </si>
  <si>
    <t>#7 - Housing First Principles</t>
  </si>
  <si>
    <t xml:space="preserve">Program does not require sobriety at entry Application </t>
  </si>
  <si>
    <t>Housing First Chart -Application 3B 5</t>
  </si>
  <si>
    <t>SELECT TRUE OR FALSE</t>
  </si>
  <si>
    <t>Max points awarded</t>
  </si>
  <si>
    <t xml:space="preserve">Program does not require participation in support services </t>
  </si>
  <si>
    <t>Participants do not need to have income at entry</t>
  </si>
  <si>
    <t xml:space="preserve">Commitment to Housing First Criteria </t>
  </si>
  <si>
    <t>Chart Application 3B 5 d (question d)- HUD Determination</t>
  </si>
  <si>
    <t>Number of Criteria Met</t>
  </si>
  <si>
    <t xml:space="preserve">Section II: RESOURCE UTILIZATION </t>
  </si>
  <si>
    <t>Section Points Earned</t>
  </si>
  <si>
    <t>#8 Resource Utilization -  Bed Utilization</t>
  </si>
  <si>
    <t>85% Outcome Target</t>
  </si>
  <si>
    <t>What types of households does the project serve?</t>
  </si>
  <si>
    <t>Data source:  APR question 8                                                 Family = households with Children;                              Individuals = Household without chidren</t>
  </si>
  <si>
    <t>Project is mixed - serving both households with and without children</t>
  </si>
  <si>
    <t>January:</t>
  </si>
  <si>
    <t>April:</t>
  </si>
  <si>
    <t>July:</t>
  </si>
  <si>
    <t>October:</t>
  </si>
  <si>
    <t>Average:</t>
  </si>
  <si>
    <t>NOTE: If HIC does not include beds for HH w/o children and the project served these HH, the average number of beds was added to D115.</t>
  </si>
  <si>
    <t>#9a Resource Utilization - Cost Comparison HUD Request</t>
  </si>
  <si>
    <t>Cell 109 &gt; 110 % = 0 points</t>
  </si>
  <si>
    <t>APR Q7a, row 1 (cell H5 above)</t>
  </si>
  <si>
    <t xml:space="preserve">Maximum percentage </t>
  </si>
  <si>
    <t>Total HUD Request</t>
  </si>
  <si>
    <t>From Budget Total HUD request (Column 1)</t>
  </si>
  <si>
    <t>Range increments</t>
  </si>
  <si>
    <t>Cost per person</t>
  </si>
  <si>
    <t xml:space="preserve"> - </t>
  </si>
  <si>
    <t>Average Cost per person for program type</t>
  </si>
  <si>
    <t>Cost Comparison Report: Average cost  for category </t>
  </si>
  <si>
    <t># of points per interval</t>
  </si>
  <si>
    <t>Percentage Project Cost per person to average cost for program type</t>
  </si>
  <si>
    <t>#9b Resource Utilization - Cost Comparison Total Budget</t>
  </si>
  <si>
    <t>Total budget</t>
  </si>
  <si>
    <t>From Budget Total</t>
  </si>
  <si>
    <t>Cost comparison chart, (Average cost for PSH)</t>
  </si>
  <si>
    <t>Percentage Project Cost per person to Average for program type</t>
  </si>
  <si>
    <t>#10 Resource Utilization - Grant Spend Out  </t>
  </si>
  <si>
    <t>(Note if operating start date after April 1) </t>
  </si>
  <si>
    <t>Total Expenditure Year-To-Date (to June 2017) </t>
  </si>
  <si>
    <t>E-LOCCS (Line of Credit Control System)</t>
  </si>
  <si>
    <t xml:space="preserve">Total Grant </t>
  </si>
  <si>
    <t xml:space="preserve">Authorized total in eLOCCS Funding section </t>
  </si>
  <si>
    <t>Percent Spend Out</t>
  </si>
  <si>
    <t>If grant spend out is at least 95%, 5 points are earned.</t>
  </si>
  <si>
    <t>Number of months eligible to be billed.</t>
  </si>
  <si>
    <t>Percentage of grant year completed</t>
  </si>
  <si>
    <t>Adjusted expected spend out percentage based on eligible months</t>
  </si>
  <si>
    <t>Section III: ACUITY &amp; SPECIAL NEEDS</t>
  </si>
  <si>
    <t xml:space="preserve">#11 Priority - Best Practice Housing Usage Targeting Transitional Age Youth (TAY) or Chronic 
</t>
  </si>
  <si>
    <t>Is the program a Transitional Age Youth program?</t>
  </si>
  <si>
    <t>NO</t>
  </si>
  <si>
    <t>Total percentage persons of targeted populations</t>
  </si>
  <si>
    <t>Must Answer 11a TAY for Cells C149 and C150 to open. Source: RTFH Custom report</t>
  </si>
  <si>
    <t>Points per interval</t>
  </si>
  <si>
    <t>#12  High Need - General Disability HH</t>
  </si>
  <si>
    <t xml:space="preserve">Persons with one physical or mental health condition at entry </t>
  </si>
  <si>
    <t>APR Q18b,  row 2, column 1</t>
  </si>
  <si>
    <t xml:space="preserve">up to </t>
  </si>
  <si>
    <t>Note: Clients may be duplicated.  Example HH could be vet and CH</t>
  </si>
  <si>
    <t xml:space="preserve">Persons with two physical and/or mental health conditions at entry </t>
  </si>
  <si>
    <t>APR Q18b, row 3,  column 1</t>
  </si>
  <si>
    <t>Performance Threshold, % clients who have general disability</t>
  </si>
  <si>
    <t>Persons with three or more physical and/or mental health conditions at entry</t>
  </si>
  <si>
    <t>APR Q18b,  row 4, column 1</t>
  </si>
  <si>
    <t>Three equal Intervals between the perf threshold to 100% possible</t>
  </si>
  <si>
    <t>Total persons in targeted populations</t>
  </si>
  <si>
    <t>Cell H5 above</t>
  </si>
  <si>
    <t>Total Percentage persons in targeted populations</t>
  </si>
  <si>
    <t>#13 High Need Priority Populations Indicators</t>
  </si>
  <si>
    <t>Number of Persons with Prior Length of time homeless &gt; 6 months</t>
  </si>
  <si>
    <t>RTFH Custom Report</t>
  </si>
  <si>
    <t>Number of persons with Mental Illness</t>
  </si>
  <si>
    <t>APR Q18a, row 1, col 1</t>
  </si>
  <si>
    <t>Performance Threshold, % clients in targeted populations</t>
  </si>
  <si>
    <t>Number of persons with Substance Abuse</t>
  </si>
  <si>
    <t>Sum of APR Q18a Rows 2+3, column 1</t>
  </si>
  <si>
    <t>Four equal Intervals between the perf threshold to 100% possible</t>
  </si>
  <si>
    <t>Number of persons with Veteran Status</t>
  </si>
  <si>
    <t>APR Q21, Row 1, column 1</t>
  </si>
  <si>
    <t>Total Persons with High Need Factors</t>
  </si>
  <si>
    <t xml:space="preserve"> Calculation</t>
  </si>
  <si>
    <t>Number of points awarded per interval (rounded)</t>
  </si>
  <si>
    <t>Total persons Served</t>
  </si>
  <si>
    <r>
      <t>#14 Residence Prior to Program Entry</t>
    </r>
    <r>
      <rPr>
        <b/>
        <sz val="9"/>
        <color theme="4" tint="-0.499984740745262"/>
        <rFont val="Arial"/>
        <family val="2"/>
      </rPr>
      <t/>
    </r>
  </si>
  <si>
    <t>Emergency shelter, Safe Haven, Place not for human habitation</t>
  </si>
  <si>
    <t>Total APR Q20a1 Total Row 5, Col 1</t>
  </si>
  <si>
    <t>Performance Threshold, % clients who were homeless</t>
  </si>
  <si>
    <t>Remove persons Coming from TH</t>
  </si>
  <si>
    <t>Total APR Q20a1 Row 2, Col 1</t>
  </si>
  <si>
    <t>Subtotal persons entered from emergency shelter, safe haven,  or place not meant for human habitation</t>
  </si>
  <si>
    <t>Total persons</t>
  </si>
  <si>
    <t xml:space="preserve">Calculation  </t>
  </si>
  <si>
    <t>Percentage entered from emergency shelter, safe haven, or place not meant for human habitation</t>
  </si>
  <si>
    <t>Section IV: CoC SYSTEM IMPROVEMENT</t>
  </si>
  <si>
    <t>#15 Preservation of Units/Beds</t>
  </si>
  <si>
    <t>Units and Beds on 2017 HIC &gt;= 2016 HIC</t>
  </si>
  <si>
    <t>Number Units or Beds on 2016 HIC</t>
  </si>
  <si>
    <t>Number Units or Beds on 2017 HIC</t>
  </si>
  <si>
    <t>Calculation If C185 =&gt; C184 award max points</t>
  </si>
  <si>
    <t>Caution:  C163 is an array:  if cell selected you must press Ctrl+Shift+Enter to activate the array.</t>
  </si>
  <si>
    <t>#16 Fills subregional gap / need (preserves or creates beds by Housing and HH type compared with total for that type in Subregion)</t>
  </si>
  <si>
    <t>Subregional Summary Chart (1-5 points)</t>
  </si>
  <si>
    <t xml:space="preserve">Compare </t>
  </si>
  <si>
    <t>Project unit / bed inventory  (Housing and HH type)</t>
  </si>
  <si>
    <t>2017 HIC Subregional Chart, named project row</t>
  </si>
  <si>
    <t>Performance Threshold, % subreginal need</t>
  </si>
  <si>
    <t>Subregion Total unit/ Bed inventory by Housing and HH type</t>
  </si>
  <si>
    <t>2017 HIC Subregional Chart, sum all Units / beds for Project &amp; HH Type</t>
  </si>
  <si>
    <t>Five equal Intervals between minimum and 40%</t>
  </si>
  <si>
    <t>Percentage of Subregion capacity</t>
  </si>
  <si>
    <t>calculation</t>
  </si>
  <si>
    <t>#17 Priority to Chronic</t>
  </si>
  <si>
    <t>Number of beds dedicated to Chronic</t>
  </si>
  <si>
    <t> 2017 HIC  Chronic Columns/ Application Section 3 (HIC Chronic columns)</t>
  </si>
  <si>
    <t>Performance Threshold, % beds dedicated to chronic</t>
  </si>
  <si>
    <t>Total number of beds in project</t>
  </si>
  <si>
    <t>2017 HIC / Application Section 3</t>
  </si>
  <si>
    <t>Five equal Intervals</t>
  </si>
  <si>
    <t>Percentage of beds dedicated to Chronic</t>
  </si>
  <si>
    <t>Note: The measures the % of dedicated CH beds in project.</t>
  </si>
  <si>
    <t xml:space="preserve">#18 Percentage of turnover vacancy filled by Chronic </t>
  </si>
  <si>
    <t>Number of exits</t>
  </si>
  <si>
    <t>APR Q 7 row 4 (H7 Above)</t>
  </si>
  <si>
    <t>Performance Threshold, % beds filled by chronic</t>
  </si>
  <si>
    <t>Number of entries identified as chronic</t>
  </si>
  <si>
    <t>RTFH Custom Report CH at turnover</t>
  </si>
  <si>
    <t>Percentage turnover filled by Chronic</t>
  </si>
  <si>
    <t> NOTE: This measures if the project is currently moving CH persons off the street. Housing Stabilty, Housing Usage are measured in Q1 and Q 11.  If C206 - '0' no person could move off the street into this project. See PSH Explanations Sheet.</t>
  </si>
  <si>
    <t>Section V: DATA QUALITY</t>
  </si>
  <si>
    <t xml:space="preserve">#19 Percent Null Values </t>
  </si>
  <si>
    <t>Enter values (not %) for both columns. 
From APR Q.7, second table</t>
  </si>
  <si>
    <t>Don't Know or Refused</t>
  </si>
  <si>
    <t># Missing Data</t>
  </si>
  <si>
    <t>First Name</t>
  </si>
  <si>
    <t>3 points = % Null</t>
  </si>
  <si>
    <t>Last Name</t>
  </si>
  <si>
    <t>2 points = % Don’t know / refused</t>
  </si>
  <si>
    <t>SSN</t>
  </si>
  <si>
    <t>If  Null &amp; DK combined, calculation below works; needs update if separated</t>
  </si>
  <si>
    <t>Date of Birth</t>
  </si>
  <si>
    <t>Race</t>
  </si>
  <si>
    <t>If potential points change must update</t>
  </si>
  <si>
    <t>Ethnicity</t>
  </si>
  <si>
    <t>point table in cells H241:H243</t>
  </si>
  <si>
    <t>Gender</t>
  </si>
  <si>
    <t>Veteran Status</t>
  </si>
  <si>
    <t>Disabling Condition</t>
  </si>
  <si>
    <t>Residence Prior to Entry</t>
  </si>
  <si>
    <t>Income (at entry)</t>
  </si>
  <si>
    <t>Income (at exit)</t>
  </si>
  <si>
    <t>Non-cash Benefits (at entry)</t>
  </si>
  <si>
    <t>Non-cash Benefits (at exit)</t>
  </si>
  <si>
    <t>Physical Disability (at entry)</t>
  </si>
  <si>
    <t>Developmental Disability (at entry)</t>
  </si>
  <si>
    <t>Chronic Health Condition (at entry)</t>
  </si>
  <si>
    <t>HIV/AIDS (at entry)</t>
  </si>
  <si>
    <t>Mental Health (at entry)</t>
  </si>
  <si>
    <t>Substance Abuse (at entry)</t>
  </si>
  <si>
    <t>Domestic Violence (at entry)</t>
  </si>
  <si>
    <t>Destination</t>
  </si>
  <si>
    <t>Total Null Data Points</t>
  </si>
  <si>
    <t>Total Number of Clients</t>
  </si>
  <si>
    <t>Percent Don't know or refused and # Missing Data</t>
  </si>
  <si>
    <t xml:space="preserve"> #20 Timeliness of Data Input</t>
  </si>
  <si>
    <t xml:space="preserve">Number of clients whose data was entered in six days after entering the program </t>
  </si>
  <si>
    <t>Regional Taskforce on the Homeless - Timeliness Report  - Unique Client Counts (1-3) + (4-6) days</t>
  </si>
  <si>
    <t>Performance Threshold, 90% of records with timely entry</t>
  </si>
  <si>
    <t>Total number of clients entering during the report year</t>
  </si>
  <si>
    <t>Regional Taskforce on the Homeless - Timeliness Report  Total Unique Clients -Final Cell</t>
  </si>
  <si>
    <t>Percentage Clients with timely data entry</t>
  </si>
  <si>
    <t>This measures the timeliness of data entry. If there were no new clients (C251 = 0) then assign full points in cell D248:  Earned</t>
  </si>
  <si>
    <t>#21 HIC Accuracy and Timeliness</t>
  </si>
  <si>
    <t>Was HIC information submitted on time?</t>
  </si>
  <si>
    <t>RTFH Timeliness report - HIC Response</t>
  </si>
  <si>
    <t>Points earned are tied to current percentage breakdown of potential points.</t>
  </si>
  <si>
    <t>Was HIC information accurate or updated upon request?</t>
  </si>
  <si>
    <t>RTFH Report - HIC Response</t>
  </si>
  <si>
    <t>#22 HMIS Participation</t>
  </si>
  <si>
    <t>Total number of agency homeless dedicated beds in CoC</t>
  </si>
  <si>
    <t>See HMIS partcipation chart: 2017 HIC,  total all agency project rows - YR Beds Columns </t>
  </si>
  <si>
    <t>Initial measurement</t>
  </si>
  <si>
    <t>Total Number of agency homeless dedicated beds in HMIS</t>
  </si>
  <si>
    <t>see HMIS Participation Chart: 2017 HIC, Total named agency rows,  HMIS YR round beds </t>
  </si>
  <si>
    <t>Intervals</t>
  </si>
  <si>
    <t>Percentage of Homeless dedicated beds in HMIS</t>
  </si>
  <si>
    <t>Section VI: BONUS POINTS</t>
  </si>
  <si>
    <t>CES Navigation Support</t>
  </si>
  <si>
    <t>23.a. Has agency identified one or more Housing  Navigators?   Provide Name(s) below</t>
  </si>
  <si>
    <t>RTFH - CES Navigator List: Agency declaration form</t>
  </si>
  <si>
    <t>Navigator Name(s):</t>
  </si>
  <si>
    <t>Is name on HMIS  CES Entry Access List?</t>
  </si>
  <si>
    <t xml:space="preserve">23.b. Has Navigator placed any persons  assigned to them for navigation with agency other than parent agency? </t>
  </si>
  <si>
    <t>CES Navigator Assignment and Client Exit destination report.</t>
  </si>
  <si>
    <t>#24 Does agency commit that 100 % of all homeless projects  will follow CoC Community standards (both HUD and non-HUD funded)?</t>
  </si>
  <si>
    <t/>
  </si>
  <si>
    <t>2017 CoC PERMANENT  HOUSING  RENEWAL SCORING TOOL</t>
  </si>
  <si>
    <t>NOTES</t>
  </si>
  <si>
    <t>Item #</t>
  </si>
  <si>
    <t>Description</t>
  </si>
  <si>
    <t xml:space="preserve"> Value</t>
  </si>
  <si>
    <t>Section Points</t>
  </si>
  <si>
    <t>Points</t>
  </si>
  <si>
    <t xml:space="preserve">Mirrors HUD Outcomes Measures </t>
  </si>
  <si>
    <t>1a</t>
  </si>
  <si>
    <t>Housing Stability / Outcome Measure</t>
  </si>
  <si>
    <t>1b</t>
  </si>
  <si>
    <t>Improved Performance</t>
  </si>
  <si>
    <t>Total Income Measure - Adults who increased their income from any source</t>
  </si>
  <si>
    <t>Earned Income Measure - Adults (18 - 61) that increased their earned income</t>
  </si>
  <si>
    <t>Note: A local adjustment is made for moving participants to institutional care if needed. HUD does not make this adjustment.</t>
  </si>
  <si>
    <t>Non-cash Benefits, Leavers and stayers</t>
  </si>
  <si>
    <t xml:space="preserve">Mainstream Resources </t>
  </si>
  <si>
    <t>Length of Stay Housing Stability</t>
  </si>
  <si>
    <t>Housing First Principles - Housing First Principles</t>
  </si>
  <si>
    <t>Measures use of resources - Bed use, Costs per client served, and use of grant funds</t>
  </si>
  <si>
    <t>Resource Utilization - Bed Utilization</t>
  </si>
  <si>
    <t>9a</t>
  </si>
  <si>
    <t>Resource Utilization - Cost Effectiveness Total Budget</t>
  </si>
  <si>
    <t>9b</t>
  </si>
  <si>
    <t>Resource Utilization - Cost Effectiveness HUD $</t>
  </si>
  <si>
    <t>Resource Utilization - Grant Spend Out</t>
  </si>
  <si>
    <t>Measures Serving Persons aligned with HUD and Board Priorities: Highest need, fit to program type, moving from literal homelessness</t>
  </si>
  <si>
    <t>Best Practice Housing Usage – Permanent Housing</t>
  </si>
  <si>
    <t>High Need - General Disability HH</t>
  </si>
  <si>
    <t>High Need Priority Populations Indicators</t>
  </si>
  <si>
    <t>Residence Prior to Program Entry</t>
  </si>
  <si>
    <t>Measures Project contribution to system: housing capacity, subregional need, priority to chronic</t>
  </si>
  <si>
    <t>Creation or Preservation of Units/Beds</t>
  </si>
  <si>
    <t xml:space="preserve">Fills Subregional Gap / Need </t>
  </si>
  <si>
    <t>Note: the chronic measures in this section are about contribution to the system.</t>
  </si>
  <si>
    <t xml:space="preserve">Priority to Chronic </t>
  </si>
  <si>
    <t>Was space made to move CH persons from literal homelessness to PSH? Are beds reserved for CH? who was served?  </t>
  </si>
  <si>
    <t>Percentage filled by Chronic</t>
  </si>
  <si>
    <t>Points for projecct level housing stability are in Section 1, Q. 1a and 6 worth 40 (37 + 3) Points</t>
  </si>
  <si>
    <t>Section VI: DATA QUALITY</t>
  </si>
  <si>
    <t>Measures quality, completeness, and timeliness of data being contributed to the system - Important factors in data-driven system.</t>
  </si>
  <si>
    <t xml:space="preserve">Data Completeness-  Percent Null Values </t>
  </si>
  <si>
    <t>Timeliness of HMIS Data Input</t>
  </si>
  <si>
    <t>HIC Accuracy and Timeliness</t>
  </si>
  <si>
    <t>HMIS Participation - All Programs</t>
  </si>
  <si>
    <t>Section VII: BONUS POINTS</t>
  </si>
  <si>
    <t>Rewards support of CES and Systems Standards beyond what is required.</t>
  </si>
  <si>
    <t>23a</t>
  </si>
  <si>
    <t>23b</t>
  </si>
  <si>
    <t>Region Navigation Placement</t>
  </si>
  <si>
    <t>Comimitment to Standards</t>
  </si>
  <si>
    <t>TOTAL</t>
  </si>
  <si>
    <t>a</t>
  </si>
  <si>
    <t>SELECT LEVEL</t>
  </si>
  <si>
    <t>SELECT FROM DROP DOWN MENU</t>
  </si>
  <si>
    <t>YES</t>
  </si>
  <si>
    <t>LOW</t>
  </si>
  <si>
    <t>Project serves households without children</t>
  </si>
  <si>
    <t>MEDIUM</t>
  </si>
  <si>
    <t>Project serves households with children</t>
  </si>
  <si>
    <t>HIGH</t>
  </si>
  <si>
    <r>
      <rPr>
        <b/>
        <sz val="14"/>
        <color rgb="FFFF0000"/>
        <rFont val="Calibri"/>
        <family val="2"/>
      </rPr>
      <t>2017</t>
    </r>
    <r>
      <rPr>
        <b/>
        <sz val="14"/>
        <rFont val="Calibri"/>
        <family val="2"/>
      </rPr>
      <t xml:space="preserve"> COC PERMANENT  HOUSING  RENEWAL SCORING TOOL</t>
    </r>
  </si>
  <si>
    <t>2016 COC PERMANENT  HOUSING  RENEWAL SCORING TOOL</t>
  </si>
  <si>
    <t>Length of Stay Rapid Return - Leavers to PH</t>
  </si>
  <si>
    <r>
      <t>Length of Stay</t>
    </r>
    <r>
      <rPr>
        <sz val="10"/>
        <color rgb="FFFF0000"/>
        <rFont val="Calibri"/>
        <family val="2"/>
      </rPr>
      <t xml:space="preserve"> Housing Stability</t>
    </r>
  </si>
  <si>
    <t>Reduction in Average Length of Stay (2015 vs. 2014) TH, SH</t>
  </si>
  <si>
    <t>Resource Utilization - Cost Effectiveness</t>
  </si>
  <si>
    <t xml:space="preserve">Special Need - Client type, Ending Homelessness Goal </t>
  </si>
  <si>
    <t xml:space="preserve">Percentage of Vacancy Filled by chronic or veteran </t>
  </si>
  <si>
    <t xml:space="preserve">Percentage of Return to Homelessness </t>
  </si>
  <si>
    <t>Section V: CAHP PARTICIPATION</t>
  </si>
  <si>
    <t xml:space="preserve">Commitment to  Coordinated Assessment and Housing Placement </t>
  </si>
  <si>
    <t>Participation in CAHP Training</t>
  </si>
  <si>
    <t>Agency Participation in CAHP System Development</t>
  </si>
  <si>
    <t>Agency SWAP Cost Effectiveness Tool</t>
  </si>
  <si>
    <t>Youth Projects</t>
  </si>
  <si>
    <t>2017 RTFH Scoring Tool - Permanent Supportive Housing (PSH) RENEWAL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</si>
</sst>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0.0"/>
    <numFmt numFmtId="167" formatCode="&quot;$&quot;#,##0.00"/>
  </numFmts>
  <fonts count="66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9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sz val="11"/>
      <color rgb="FFFF0000"/>
      <name val="Arial"/>
      <family val="2"/>
    </font>
    <font>
      <b/>
      <sz val="9"/>
      <color theme="4" tint="-0.499984740745262"/>
      <name val="Arial"/>
      <family val="2"/>
    </font>
    <font>
      <i/>
      <sz val="10"/>
      <name val="Arial"/>
      <family val="2"/>
    </font>
    <font>
      <b/>
      <sz val="14"/>
      <color rgb="FFFFFF00"/>
      <name val="Arial"/>
      <family val="2"/>
    </font>
    <font>
      <sz val="11"/>
      <color theme="4" tint="-0.499984740745262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color rgb="FFFFFF00"/>
      <name val="Calibri"/>
      <family val="2"/>
    </font>
    <font>
      <b/>
      <sz val="11"/>
      <color rgb="FFFFFF00"/>
      <name val="Calibri"/>
      <family val="2"/>
    </font>
    <font>
      <b/>
      <sz val="12"/>
      <color rgb="FFFF0000"/>
      <name val="Arial"/>
      <family val="2"/>
    </font>
    <font>
      <sz val="10"/>
      <color theme="4" tint="-0.499984740745262"/>
      <name val="Arial"/>
      <family val="2"/>
    </font>
    <font>
      <sz val="12"/>
      <color rgb="FF9C6500"/>
      <name val="Calibri"/>
      <family val="2"/>
      <scheme val="minor"/>
    </font>
    <font>
      <b/>
      <sz val="14"/>
      <color rgb="FFFF0000"/>
      <name val="Calibri"/>
      <family val="2"/>
    </font>
    <font>
      <sz val="10"/>
      <color theme="4"/>
      <name val="Arial"/>
      <family val="2"/>
    </font>
    <font>
      <b/>
      <sz val="10"/>
      <color theme="4"/>
      <name val="Arial"/>
      <family val="2"/>
    </font>
    <font>
      <b/>
      <sz val="8"/>
      <color theme="4" tint="-0.499984740745262"/>
      <name val="Arial"/>
      <family val="2"/>
    </font>
    <font>
      <sz val="10"/>
      <color rgb="FFFF0000"/>
      <name val="Calibri"/>
      <family val="2"/>
    </font>
    <font>
      <b/>
      <sz val="11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4"/>
      <color theme="0"/>
      <name val="Arial"/>
      <family val="2"/>
    </font>
    <font>
      <b/>
      <i/>
      <sz val="14"/>
      <name val="Arial"/>
      <family val="2"/>
    </font>
    <font>
      <b/>
      <i/>
      <sz val="12"/>
      <color theme="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rgb="FFFFFF0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name val="Arial"/>
    </font>
    <font>
      <sz val="10"/>
      <color rgb="FF000000"/>
      <name val="Calibri"/>
      <family val="2"/>
    </font>
    <font>
      <sz val="10"/>
      <color rgb="FF000000"/>
      <name val="Arial"/>
    </font>
    <font>
      <b/>
      <sz val="10"/>
      <color rgb="FFFF0000"/>
      <name val="Arial"/>
    </font>
    <font>
      <u/>
      <sz val="10"/>
      <name val="Arial"/>
    </font>
    <font>
      <b/>
      <sz val="9"/>
      <color rgb="FFFF0000"/>
      <name val="Arial"/>
      <family val="2"/>
    </font>
    <font>
      <b/>
      <sz val="11"/>
      <color rgb="FF000000"/>
      <name val="Arial"/>
      <family val="2"/>
    </font>
    <font>
      <b/>
      <u/>
      <sz val="10"/>
      <color rgb="FFFF0000"/>
      <name val="Arial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2440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EB9C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C6D9F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748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14" borderId="0" applyNumberFormat="0" applyBorder="0" applyAlignment="0" applyProtection="0"/>
  </cellStyleXfs>
  <cellXfs count="649">
    <xf numFmtId="0" fontId="0" fillId="0" borderId="0" xfId="0"/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</xf>
    <xf numFmtId="3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2" fillId="3" borderId="4" xfId="0" applyNumberFormat="1" applyFont="1" applyFill="1" applyBorder="1" applyAlignment="1" applyProtection="1">
      <alignment horizontal="center" vertical="center"/>
      <protection locked="0"/>
    </xf>
    <xf numFmtId="3" fontId="0" fillId="3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ont="1" applyFill="1" applyBorder="1" applyAlignment="1" applyProtection="1">
      <alignment horizontal="left" vertical="center" wrapText="1"/>
    </xf>
    <xf numFmtId="0" fontId="20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</xf>
    <xf numFmtId="1" fontId="23" fillId="7" borderId="3" xfId="0" applyNumberFormat="1" applyFont="1" applyFill="1" applyBorder="1" applyAlignment="1" applyProtection="1">
      <alignment horizontal="left" vertical="center" wrapText="1"/>
    </xf>
    <xf numFmtId="164" fontId="3" fillId="4" borderId="0" xfId="0" applyNumberFormat="1" applyFont="1" applyFill="1" applyAlignment="1" applyProtection="1">
      <alignment horizontal="center" vertical="center"/>
      <protection locked="0"/>
    </xf>
    <xf numFmtId="0" fontId="23" fillId="7" borderId="9" xfId="0" applyFont="1" applyFill="1" applyBorder="1" applyAlignment="1" applyProtection="1">
      <alignment horizontal="left" vertical="center" wrapText="1"/>
    </xf>
    <xf numFmtId="0" fontId="23" fillId="7" borderId="3" xfId="0" applyFont="1" applyFill="1" applyBorder="1" applyAlignment="1" applyProtection="1">
      <alignment horizontal="right" vertical="center" wrapText="1"/>
    </xf>
    <xf numFmtId="0" fontId="23" fillId="7" borderId="3" xfId="0" applyFont="1" applyFill="1" applyBorder="1" applyAlignment="1" applyProtection="1">
      <alignment horizontal="right" vertical="center"/>
    </xf>
    <xf numFmtId="0" fontId="23" fillId="7" borderId="3" xfId="0" applyFont="1" applyFill="1" applyBorder="1" applyAlignment="1" applyProtection="1">
      <alignment vertical="center" wrapText="1"/>
    </xf>
    <xf numFmtId="0" fontId="23" fillId="7" borderId="4" xfId="0" applyFont="1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right" vertical="center"/>
    </xf>
    <xf numFmtId="0" fontId="0" fillId="4" borderId="0" xfId="0" applyFont="1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 vertical="center" wrapText="1"/>
    </xf>
    <xf numFmtId="9" fontId="3" fillId="4" borderId="13" xfId="1" applyFont="1" applyFill="1" applyBorder="1" applyAlignment="1" applyProtection="1">
      <alignment horizontal="center" vertical="center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</xf>
    <xf numFmtId="9" fontId="0" fillId="4" borderId="6" xfId="0" applyNumberFormat="1" applyFill="1" applyBorder="1" applyAlignment="1">
      <alignment horizontal="left" vertical="center"/>
    </xf>
    <xf numFmtId="9" fontId="2" fillId="4" borderId="6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left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0" xfId="0" applyFill="1" applyAlignment="1" applyProtection="1">
      <alignment horizontal="center" vertical="center"/>
    </xf>
    <xf numFmtId="1" fontId="0" fillId="4" borderId="0" xfId="0" applyNumberFormat="1" applyFill="1" applyBorder="1" applyAlignment="1">
      <alignment horizontal="left" vertical="center"/>
    </xf>
    <xf numFmtId="0" fontId="3" fillId="4" borderId="0" xfId="0" applyFont="1" applyFill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2" fillId="4" borderId="0" xfId="0" applyFont="1" applyFill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right" vertical="center" wrapText="1"/>
    </xf>
    <xf numFmtId="0" fontId="21" fillId="4" borderId="0" xfId="0" applyFont="1" applyFill="1" applyBorder="1" applyAlignment="1" applyProtection="1">
      <alignment horizontal="right" vertical="center"/>
    </xf>
    <xf numFmtId="0" fontId="21" fillId="4" borderId="0" xfId="0" applyFont="1" applyFill="1" applyBorder="1" applyAlignment="1" applyProtection="1">
      <alignment vertical="center" wrapText="1"/>
    </xf>
    <xf numFmtId="0" fontId="21" fillId="4" borderId="0" xfId="0" applyFont="1" applyFill="1" applyBorder="1" applyAlignment="1" applyProtection="1">
      <alignment horizontal="left" vertical="center" indent="1"/>
    </xf>
    <xf numFmtId="0" fontId="21" fillId="6" borderId="0" xfId="0" applyFont="1" applyFill="1" applyBorder="1" applyAlignment="1" applyProtection="1">
      <alignment horizontal="right" vertical="center" wrapText="1"/>
    </xf>
    <xf numFmtId="0" fontId="16" fillId="0" borderId="0" xfId="0" applyFont="1" applyAlignment="1" applyProtection="1">
      <alignment vertical="center"/>
    </xf>
    <xf numFmtId="0" fontId="21" fillId="6" borderId="0" xfId="0" applyFont="1" applyFill="1" applyBorder="1" applyAlignment="1" applyProtection="1">
      <alignment horizontal="right" vertical="center"/>
    </xf>
    <xf numFmtId="0" fontId="21" fillId="6" borderId="0" xfId="0" applyFont="1" applyFill="1" applyBorder="1" applyAlignment="1" applyProtection="1">
      <alignment vertical="center" wrapText="1"/>
    </xf>
    <xf numFmtId="0" fontId="2" fillId="4" borderId="0" xfId="0" applyFont="1" applyFill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 wrapText="1"/>
    </xf>
    <xf numFmtId="0" fontId="22" fillId="6" borderId="0" xfId="0" applyFont="1" applyFill="1" applyBorder="1" applyAlignment="1" applyProtection="1">
      <alignment horizontal="left" vertical="center" indent="1"/>
    </xf>
    <xf numFmtId="0" fontId="22" fillId="6" borderId="0" xfId="0" applyFont="1" applyFill="1" applyBorder="1" applyAlignment="1" applyProtection="1">
      <alignment horizontal="right" vertical="center"/>
    </xf>
    <xf numFmtId="0" fontId="22" fillId="6" borderId="0" xfId="0" applyFont="1" applyFill="1" applyBorder="1" applyAlignment="1" applyProtection="1">
      <alignment horizontal="right"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22" fillId="6" borderId="0" xfId="0" applyFont="1" applyFill="1" applyBorder="1" applyAlignment="1" applyProtection="1">
      <alignment vertical="center" wrapText="1"/>
    </xf>
    <xf numFmtId="1" fontId="23" fillId="4" borderId="0" xfId="0" applyNumberFormat="1" applyFont="1" applyFill="1" applyBorder="1" applyAlignment="1" applyProtection="1">
      <alignment horizontal="left" vertical="center" wrapText="1"/>
    </xf>
    <xf numFmtId="0" fontId="23" fillId="4" borderId="0" xfId="0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horizontal="left" vertical="center"/>
    </xf>
    <xf numFmtId="5" fontId="2" fillId="3" borderId="4" xfId="665" applyNumberFormat="1" applyFont="1" applyFill="1" applyBorder="1" applyAlignment="1" applyProtection="1">
      <alignment horizontal="center" vertical="center"/>
      <protection locked="0"/>
    </xf>
    <xf numFmtId="9" fontId="0" fillId="4" borderId="0" xfId="0" applyNumberFormat="1" applyFill="1" applyBorder="1" applyAlignment="1">
      <alignment horizontal="right" vertical="center"/>
    </xf>
    <xf numFmtId="9" fontId="2" fillId="4" borderId="0" xfId="0" applyNumberFormat="1" applyFont="1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9" fontId="0" fillId="4" borderId="0" xfId="0" applyNumberFormat="1" applyFill="1" applyBorder="1" applyAlignment="1">
      <alignment horizontal="center" vertical="center"/>
    </xf>
    <xf numFmtId="9" fontId="2" fillId="0" borderId="16" xfId="1" applyFont="1" applyBorder="1" applyAlignment="1" applyProtection="1">
      <alignment horizontal="center" vertical="center"/>
      <protection hidden="1"/>
    </xf>
    <xf numFmtId="9" fontId="2" fillId="0" borderId="1" xfId="1" applyNumberFormat="1" applyFont="1" applyBorder="1" applyAlignment="1" applyProtection="1">
      <alignment horizontal="center" vertical="center"/>
      <protection hidden="1"/>
    </xf>
    <xf numFmtId="1" fontId="2" fillId="4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17" fillId="4" borderId="0" xfId="0" applyNumberFormat="1" applyFont="1" applyFill="1" applyBorder="1" applyAlignment="1" applyProtection="1">
      <alignment horizontal="center" vertical="center"/>
    </xf>
    <xf numFmtId="165" fontId="2" fillId="4" borderId="0" xfId="1" applyNumberFormat="1" applyFont="1" applyFill="1" applyBorder="1" applyAlignment="1" applyProtection="1">
      <alignment horizontal="center" vertical="center"/>
    </xf>
    <xf numFmtId="164" fontId="10" fillId="4" borderId="0" xfId="0" quotePrefix="1" applyNumberFormat="1" applyFont="1" applyFill="1" applyBorder="1" applyAlignment="1" applyProtection="1">
      <alignment horizontal="center" vertical="center" wrapText="1"/>
      <protection hidden="1"/>
    </xf>
    <xf numFmtId="164" fontId="2" fillId="4" borderId="0" xfId="0" applyNumberFormat="1" applyFont="1" applyFill="1" applyBorder="1" applyAlignment="1" applyProtection="1">
      <alignment horizontal="center" vertical="center"/>
    </xf>
    <xf numFmtId="164" fontId="0" fillId="4" borderId="0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center" vertical="center" wrapText="1"/>
    </xf>
    <xf numFmtId="0" fontId="8" fillId="4" borderId="0" xfId="0" applyFont="1" applyFill="1" applyAlignment="1" applyProtection="1">
      <alignment horizontal="right" vertical="center" wrapText="1"/>
    </xf>
    <xf numFmtId="0" fontId="9" fillId="4" borderId="0" xfId="0" applyFont="1" applyFill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horizontal="right" vertical="center"/>
    </xf>
    <xf numFmtId="0" fontId="3" fillId="4" borderId="4" xfId="0" applyFont="1" applyFill="1" applyBorder="1" applyAlignment="1" applyProtection="1">
      <alignment horizontal="right" vertical="center" wrapText="1"/>
    </xf>
    <xf numFmtId="0" fontId="3" fillId="4" borderId="4" xfId="0" applyFont="1" applyFill="1" applyBorder="1" applyAlignment="1" applyProtection="1">
      <alignment horizontal="right" vertical="center"/>
    </xf>
    <xf numFmtId="0" fontId="9" fillId="4" borderId="6" xfId="0" applyFont="1" applyFill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 vertical="center" wrapText="1"/>
    </xf>
    <xf numFmtId="164" fontId="3" fillId="4" borderId="0" xfId="0" applyNumberFormat="1" applyFont="1" applyFill="1" applyBorder="1" applyAlignment="1" applyProtection="1">
      <alignment horizontal="center" vertical="center"/>
    </xf>
    <xf numFmtId="1" fontId="4" fillId="8" borderId="19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4" borderId="6" xfId="0" applyFont="1" applyFill="1" applyBorder="1" applyAlignment="1" applyProtection="1">
      <alignment horizontal="left" vertical="center" wrapText="1"/>
    </xf>
    <xf numFmtId="3" fontId="0" fillId="4" borderId="6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165" fontId="4" fillId="4" borderId="0" xfId="1" applyNumberFormat="1" applyFont="1" applyFill="1" applyBorder="1" applyAlignment="1" applyProtection="1">
      <alignment horizontal="center" vertical="center"/>
    </xf>
    <xf numFmtId="0" fontId="27" fillId="4" borderId="0" xfId="0" applyFont="1" applyFill="1" applyBorder="1" applyAlignment="1" applyProtection="1">
      <alignment vertical="center" wrapText="1"/>
    </xf>
    <xf numFmtId="165" fontId="0" fillId="4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28" fillId="6" borderId="0" xfId="0" applyFont="1" applyFill="1" applyBorder="1" applyAlignment="1" applyProtection="1">
      <alignment horizontal="left" vertical="center" indent="1"/>
    </xf>
    <xf numFmtId="0" fontId="5" fillId="4" borderId="0" xfId="730" applyFont="1" applyFill="1" applyBorder="1" applyAlignment="1" applyProtection="1">
      <alignment horizontal="center" vertical="center" wrapText="1"/>
    </xf>
    <xf numFmtId="1" fontId="3" fillId="0" borderId="1" xfId="0" applyNumberFormat="1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right" vertical="center" wrapText="1"/>
    </xf>
    <xf numFmtId="0" fontId="2" fillId="4" borderId="4" xfId="0" applyFont="1" applyFill="1" applyBorder="1" applyAlignment="1" applyProtection="1">
      <alignment vertical="center"/>
    </xf>
    <xf numFmtId="165" fontId="4" fillId="0" borderId="3" xfId="1" applyNumberFormat="1" applyFont="1" applyBorder="1" applyAlignment="1" applyProtection="1">
      <alignment horizontal="center" vertical="center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5" fillId="4" borderId="1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vertical="center" wrapText="1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</xf>
    <xf numFmtId="0" fontId="10" fillId="4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horizontal="right" vertical="center" wrapText="1"/>
    </xf>
    <xf numFmtId="0" fontId="2" fillId="0" borderId="0" xfId="0" applyFont="1"/>
    <xf numFmtId="0" fontId="0" fillId="9" borderId="0" xfId="0" applyFill="1"/>
    <xf numFmtId="0" fontId="2" fillId="4" borderId="1" xfId="0" applyFont="1" applyFill="1" applyBorder="1" applyAlignment="1" applyProtection="1">
      <alignment horizontal="righ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7" fillId="4" borderId="1" xfId="1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29" fillId="7" borderId="3" xfId="0" applyFont="1" applyFill="1" applyBorder="1" applyAlignment="1" applyProtection="1">
      <alignment horizontal="right" vertical="center" wrapText="1"/>
    </xf>
    <xf numFmtId="0" fontId="24" fillId="4" borderId="1" xfId="730" applyFont="1" applyFill="1" applyBorder="1" applyAlignment="1" applyProtection="1">
      <alignment horizontal="center" wrapText="1"/>
    </xf>
    <xf numFmtId="0" fontId="23" fillId="7" borderId="9" xfId="0" applyFont="1" applyFill="1" applyBorder="1" applyAlignment="1" applyProtection="1">
      <alignment horizontal="left" wrapText="1"/>
    </xf>
    <xf numFmtId="9" fontId="15" fillId="4" borderId="10" xfId="1" applyFont="1" applyFill="1" applyBorder="1" applyAlignment="1" applyProtection="1">
      <alignment horizontal="center" vertical="center"/>
    </xf>
    <xf numFmtId="9" fontId="15" fillId="4" borderId="13" xfId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9" fontId="2" fillId="0" borderId="1" xfId="1" quotePrefix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" fontId="0" fillId="4" borderId="3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35" fillId="0" borderId="31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3" fillId="0" borderId="0" xfId="0" applyFont="1"/>
    <xf numFmtId="0" fontId="36" fillId="0" borderId="32" xfId="0" applyFont="1" applyBorder="1" applyAlignment="1">
      <alignment vertical="center"/>
    </xf>
    <xf numFmtId="0" fontId="38" fillId="11" borderId="31" xfId="0" applyFont="1" applyFill="1" applyBorder="1" applyAlignment="1">
      <alignment horizontal="center" vertical="center"/>
    </xf>
    <xf numFmtId="0" fontId="37" fillId="11" borderId="32" xfId="0" applyFont="1" applyFill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6" fillId="0" borderId="31" xfId="0" applyFont="1" applyBorder="1" applyAlignment="1">
      <alignment horizontal="center" vertical="center"/>
    </xf>
    <xf numFmtId="0" fontId="36" fillId="12" borderId="32" xfId="0" applyFont="1" applyFill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25" xfId="0" applyFont="1" applyBorder="1" applyAlignment="1">
      <alignment vertical="center"/>
    </xf>
    <xf numFmtId="0" fontId="36" fillId="0" borderId="33" xfId="0" applyFont="1" applyBorder="1" applyAlignment="1">
      <alignment vertical="center"/>
    </xf>
    <xf numFmtId="0" fontId="36" fillId="12" borderId="31" xfId="0" applyFont="1" applyFill="1" applyBorder="1" applyAlignment="1">
      <alignment horizontal="center" vertical="center"/>
    </xf>
    <xf numFmtId="0" fontId="33" fillId="0" borderId="31" xfId="0" applyFont="1" applyBorder="1"/>
    <xf numFmtId="0" fontId="37" fillId="11" borderId="31" xfId="0" applyFont="1" applyFill="1" applyBorder="1" applyAlignment="1">
      <alignment horizontal="center" vertical="center"/>
    </xf>
    <xf numFmtId="0" fontId="33" fillId="0" borderId="32" xfId="0" applyFont="1" applyBorder="1"/>
    <xf numFmtId="0" fontId="36" fillId="0" borderId="7" xfId="0" applyFont="1" applyBorder="1" applyAlignment="1">
      <alignment horizontal="center" vertical="center"/>
    </xf>
    <xf numFmtId="0" fontId="36" fillId="0" borderId="34" xfId="0" applyFont="1" applyBorder="1" applyAlignment="1">
      <alignment vertical="center"/>
    </xf>
    <xf numFmtId="0" fontId="36" fillId="0" borderId="31" xfId="0" applyFont="1" applyBorder="1" applyAlignment="1">
      <alignment vertical="center"/>
    </xf>
    <xf numFmtId="0" fontId="36" fillId="0" borderId="26" xfId="0" applyFont="1" applyBorder="1" applyAlignment="1">
      <alignment vertical="center" wrapText="1"/>
    </xf>
    <xf numFmtId="0" fontId="36" fillId="0" borderId="32" xfId="0" applyFont="1" applyBorder="1" applyAlignment="1">
      <alignment horizontal="center" vertical="center"/>
    </xf>
    <xf numFmtId="0" fontId="36" fillId="0" borderId="32" xfId="0" applyFont="1" applyBorder="1" applyAlignment="1">
      <alignment vertical="center" wrapText="1"/>
    </xf>
    <xf numFmtId="0" fontId="36" fillId="12" borderId="28" xfId="0" applyFont="1" applyFill="1" applyBorder="1" applyAlignment="1">
      <alignment vertical="center" wrapText="1"/>
    </xf>
    <xf numFmtId="0" fontId="36" fillId="12" borderId="26" xfId="0" applyFont="1" applyFill="1" applyBorder="1" applyAlignment="1">
      <alignment vertical="center" wrapText="1"/>
    </xf>
    <xf numFmtId="0" fontId="37" fillId="13" borderId="31" xfId="0" applyFont="1" applyFill="1" applyBorder="1" applyAlignment="1">
      <alignment vertical="center"/>
    </xf>
    <xf numFmtId="0" fontId="37" fillId="13" borderId="32" xfId="0" applyFont="1" applyFill="1" applyBorder="1" applyAlignment="1">
      <alignment vertical="center"/>
    </xf>
    <xf numFmtId="0" fontId="33" fillId="13" borderId="32" xfId="0" applyFont="1" applyFill="1" applyBorder="1"/>
    <xf numFmtId="0" fontId="37" fillId="13" borderId="32" xfId="0" applyFont="1" applyFill="1" applyBorder="1" applyAlignment="1">
      <alignment horizontal="right" vertical="center"/>
    </xf>
    <xf numFmtId="165" fontId="23" fillId="7" borderId="3" xfId="0" applyNumberFormat="1" applyFont="1" applyFill="1" applyBorder="1" applyAlignment="1" applyProtection="1">
      <alignment vertical="center" wrapText="1"/>
    </xf>
    <xf numFmtId="9" fontId="0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</xf>
    <xf numFmtId="9" fontId="0" fillId="4" borderId="1" xfId="1" applyFont="1" applyFill="1" applyBorder="1" applyAlignment="1" applyProtection="1">
      <alignment horizontal="center" vertical="center"/>
    </xf>
    <xf numFmtId="0" fontId="0" fillId="4" borderId="0" xfId="0" applyFill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>
      <alignment horizontal="center"/>
    </xf>
    <xf numFmtId="0" fontId="2" fillId="0" borderId="0" xfId="0" applyFont="1" applyFill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right" vertical="center"/>
    </xf>
    <xf numFmtId="0" fontId="0" fillId="4" borderId="6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horizontal="center" vertical="center"/>
    </xf>
    <xf numFmtId="9" fontId="0" fillId="4" borderId="4" xfId="0" applyNumberFormat="1" applyFill="1" applyBorder="1" applyAlignment="1" applyProtection="1">
      <alignment horizontal="center" vertical="center"/>
    </xf>
    <xf numFmtId="0" fontId="14" fillId="4" borderId="0" xfId="0" applyFont="1" applyFill="1" applyBorder="1" applyAlignment="1" applyProtection="1">
      <alignment horizontal="center" wrapText="1"/>
    </xf>
    <xf numFmtId="1" fontId="3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/>
    <xf numFmtId="164" fontId="2" fillId="4" borderId="0" xfId="0" applyNumberFormat="1" applyFont="1" applyFill="1" applyBorder="1" applyAlignment="1" applyProtection="1">
      <alignment horizontal="center" wrapText="1"/>
    </xf>
    <xf numFmtId="164" fontId="2" fillId="4" borderId="0" xfId="0" applyNumberFormat="1" applyFont="1" applyFill="1" applyBorder="1" applyAlignment="1" applyProtection="1">
      <alignment horizontal="center"/>
    </xf>
    <xf numFmtId="0" fontId="24" fillId="4" borderId="0" xfId="730" applyFont="1" applyFill="1" applyBorder="1" applyAlignment="1" applyProtection="1">
      <alignment horizontal="center" wrapText="1"/>
    </xf>
    <xf numFmtId="0" fontId="24" fillId="4" borderId="12" xfId="730" applyFont="1" applyFill="1" applyBorder="1" applyAlignment="1" applyProtection="1">
      <alignment horizontal="center" vertical="center" wrapText="1"/>
    </xf>
    <xf numFmtId="1" fontId="0" fillId="0" borderId="6" xfId="0" applyNumberFormat="1" applyFill="1" applyBorder="1" applyAlignment="1">
      <alignment horizont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9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</xf>
    <xf numFmtId="0" fontId="3" fillId="4" borderId="2" xfId="0" applyFont="1" applyFill="1" applyBorder="1" applyAlignment="1" applyProtection="1">
      <alignment horizontal="right" vertical="center" wrapText="1"/>
    </xf>
    <xf numFmtId="0" fontId="19" fillId="4" borderId="0" xfId="0" applyFont="1" applyFill="1" applyBorder="1" applyAlignment="1" applyProtection="1">
      <alignment horizontal="right"/>
    </xf>
    <xf numFmtId="3" fontId="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right" vertical="center"/>
    </xf>
    <xf numFmtId="3" fontId="0" fillId="4" borderId="3" xfId="0" applyNumberFormat="1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vertical="center"/>
    </xf>
    <xf numFmtId="0" fontId="2" fillId="4" borderId="2" xfId="0" applyFont="1" applyFill="1" applyBorder="1" applyAlignment="1" applyProtection="1">
      <alignment horizontal="right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vertical="center"/>
    </xf>
    <xf numFmtId="165" fontId="0" fillId="4" borderId="0" xfId="0" applyNumberFormat="1" applyFill="1" applyBorder="1" applyAlignment="1">
      <alignment horizontal="left" vertical="center"/>
    </xf>
    <xf numFmtId="9" fontId="2" fillId="4" borderId="3" xfId="0" applyNumberFormat="1" applyFont="1" applyFill="1" applyBorder="1" applyAlignment="1">
      <alignment horizontal="center" vertical="center"/>
    </xf>
    <xf numFmtId="9" fontId="4" fillId="4" borderId="0" xfId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1" fontId="7" fillId="8" borderId="19" xfId="0" applyNumberFormat="1" applyFont="1" applyFill="1" applyBorder="1" applyAlignment="1" applyProtection="1">
      <alignment horizontal="center" vertical="center"/>
    </xf>
    <xf numFmtId="9" fontId="0" fillId="4" borderId="4" xfId="0" applyNumberFormat="1" applyFill="1" applyBorder="1" applyAlignment="1">
      <alignment horizontal="right" vertical="center"/>
    </xf>
    <xf numFmtId="1" fontId="0" fillId="0" borderId="9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1" xfId="665" applyNumberFormat="1" applyFont="1" applyFill="1" applyBorder="1" applyAlignment="1" applyProtection="1">
      <alignment horizontal="center" vertical="center"/>
    </xf>
    <xf numFmtId="9" fontId="0" fillId="4" borderId="12" xfId="0" applyNumberFormat="1" applyFill="1" applyBorder="1" applyAlignment="1">
      <alignment horizontal="right" vertical="center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0" fontId="23" fillId="7" borderId="1" xfId="0" applyFont="1" applyFill="1" applyBorder="1" applyAlignment="1" applyProtection="1">
      <alignment horizontal="left" vertical="center"/>
    </xf>
    <xf numFmtId="0" fontId="23" fillId="7" borderId="1" xfId="0" applyFont="1" applyFill="1" applyBorder="1" applyAlignment="1" applyProtection="1">
      <alignment vertical="center" wrapText="1"/>
    </xf>
    <xf numFmtId="0" fontId="3" fillId="4" borderId="6" xfId="0" applyFont="1" applyFill="1" applyBorder="1" applyAlignment="1" applyProtection="1">
      <alignment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3" fillId="4" borderId="14" xfId="0" applyFont="1" applyFill="1" applyBorder="1" applyAlignment="1" applyProtection="1">
      <alignment horizontal="left" vertic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left" vertical="center" wrapText="1"/>
    </xf>
    <xf numFmtId="0" fontId="0" fillId="4" borderId="10" xfId="0" applyFill="1" applyBorder="1" applyAlignment="1" applyProtection="1">
      <alignment horizontal="center" vertical="center"/>
    </xf>
    <xf numFmtId="9" fontId="2" fillId="0" borderId="1" xfId="1" applyFont="1" applyBorder="1" applyAlignment="1" applyProtection="1">
      <alignment horizontal="center" vertical="center"/>
    </xf>
    <xf numFmtId="9" fontId="2" fillId="0" borderId="1" xfId="1" applyNumberFormat="1" applyFont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65" fontId="16" fillId="4" borderId="1" xfId="1" applyNumberFormat="1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1" fontId="0" fillId="0" borderId="1" xfId="0" applyNumberForma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4" borderId="4" xfId="1" applyNumberFormat="1" applyFont="1" applyFill="1" applyBorder="1" applyAlignment="1" applyProtection="1">
      <alignment horizontal="center" vertical="center"/>
    </xf>
    <xf numFmtId="9" fontId="0" fillId="4" borderId="1" xfId="1" applyFont="1" applyFill="1" applyBorder="1" applyAlignment="1" applyProtection="1">
      <alignment horizontal="center" vertical="center"/>
      <protection locked="0"/>
    </xf>
    <xf numFmtId="9" fontId="2" fillId="4" borderId="1" xfId="0" applyNumberFormat="1" applyFont="1" applyFill="1" applyBorder="1" applyAlignment="1" applyProtection="1">
      <alignment horizontal="center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167" fontId="2" fillId="3" borderId="11" xfId="0" applyNumberFormat="1" applyFont="1" applyFill="1" applyBorder="1" applyAlignment="1" applyProtection="1">
      <alignment horizontal="center" vertical="center"/>
      <protection locked="0"/>
    </xf>
    <xf numFmtId="9" fontId="2" fillId="4" borderId="1" xfId="0" applyNumberFormat="1" applyFont="1" applyFill="1" applyBorder="1" applyAlignment="1" applyProtection="1">
      <alignment horizontal="center" vertical="center"/>
    </xf>
    <xf numFmtId="0" fontId="24" fillId="4" borderId="1" xfId="73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left" vertical="center" wrapText="1"/>
    </xf>
    <xf numFmtId="0" fontId="0" fillId="0" borderId="0" xfId="0" quotePrefix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4" borderId="2" xfId="0" applyFont="1" applyFill="1" applyBorder="1" applyAlignment="1" applyProtection="1">
      <alignment vertical="center" wrapText="1"/>
    </xf>
    <xf numFmtId="0" fontId="24" fillId="4" borderId="0" xfId="730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right" vertical="center" wrapText="1"/>
    </xf>
    <xf numFmtId="9" fontId="2" fillId="4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wrapText="1"/>
    </xf>
    <xf numFmtId="0" fontId="15" fillId="4" borderId="3" xfId="0" applyFont="1" applyFill="1" applyBorder="1" applyAlignment="1" applyProtection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1" fontId="2" fillId="4" borderId="13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0" fontId="28" fillId="6" borderId="4" xfId="0" applyFont="1" applyFill="1" applyBorder="1" applyAlignment="1" applyProtection="1">
      <alignment horizontal="left" vertical="center" indent="1"/>
    </xf>
    <xf numFmtId="0" fontId="21" fillId="6" borderId="3" xfId="0" applyFont="1" applyFill="1" applyBorder="1" applyAlignment="1" applyProtection="1">
      <alignment vertical="center" wrapText="1"/>
    </xf>
    <xf numFmtId="0" fontId="21" fillId="6" borderId="3" xfId="0" applyFont="1" applyFill="1" applyBorder="1" applyAlignment="1" applyProtection="1">
      <alignment horizontal="right" vertical="center"/>
    </xf>
    <xf numFmtId="0" fontId="21" fillId="6" borderId="3" xfId="0" applyFont="1" applyFill="1" applyBorder="1" applyAlignment="1" applyProtection="1">
      <alignment horizontal="right" vertical="center" wrapText="1"/>
    </xf>
    <xf numFmtId="0" fontId="22" fillId="4" borderId="0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horizontal="right" vertical="center"/>
    </xf>
    <xf numFmtId="0" fontId="22" fillId="4" borderId="0" xfId="0" applyFont="1" applyFill="1" applyBorder="1" applyAlignment="1" applyProtection="1">
      <alignment horizontal="right" vertical="center" wrapText="1"/>
    </xf>
    <xf numFmtId="1" fontId="4" fillId="4" borderId="38" xfId="0" applyNumberFormat="1" applyFont="1" applyFill="1" applyBorder="1" applyAlignment="1" applyProtection="1">
      <alignment horizontal="center" vertical="center"/>
      <protection hidden="1"/>
    </xf>
    <xf numFmtId="1" fontId="4" fillId="4" borderId="38" xfId="0" applyNumberFormat="1" applyFont="1" applyFill="1" applyBorder="1" applyAlignment="1" applyProtection="1">
      <alignment horizontal="center" vertical="center"/>
    </xf>
    <xf numFmtId="1" fontId="7" fillId="4" borderId="39" xfId="0" applyNumberFormat="1" applyFont="1" applyFill="1" applyBorder="1" applyAlignment="1" applyProtection="1">
      <alignment horizontal="center" vertical="center"/>
      <protection hidden="1"/>
    </xf>
    <xf numFmtId="1" fontId="7" fillId="4" borderId="39" xfId="0" applyNumberFormat="1" applyFont="1" applyFill="1" applyBorder="1" applyAlignment="1" applyProtection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0" fillId="0" borderId="9" xfId="0" applyNumberFormat="1" applyFill="1" applyBorder="1" applyAlignment="1" applyProtection="1">
      <alignment horizontal="center" vertical="center"/>
    </xf>
    <xf numFmtId="3" fontId="23" fillId="7" borderId="3" xfId="0" applyNumberFormat="1" applyFont="1" applyFill="1" applyBorder="1" applyAlignment="1" applyProtection="1">
      <alignment horizontal="left" vertical="center" wrapText="1"/>
    </xf>
    <xf numFmtId="9" fontId="2" fillId="0" borderId="1" xfId="1" applyNumberFormat="1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center" wrapText="1"/>
    </xf>
    <xf numFmtId="1" fontId="24" fillId="4" borderId="0" xfId="0" applyNumberFormat="1" applyFont="1" applyFill="1" applyBorder="1" applyAlignment="1" applyProtection="1">
      <alignment horizontal="left" vertical="center" wrapText="1"/>
    </xf>
    <xf numFmtId="0" fontId="24" fillId="4" borderId="0" xfId="0" applyFont="1" applyFill="1" applyBorder="1" applyAlignment="1" applyProtection="1">
      <alignment horizontal="right" vertical="center" wrapText="1"/>
    </xf>
    <xf numFmtId="0" fontId="24" fillId="4" borderId="0" xfId="0" applyFont="1" applyFill="1" applyBorder="1" applyAlignment="1" applyProtection="1">
      <alignment horizontal="left" vertical="center" wrapText="1"/>
    </xf>
    <xf numFmtId="165" fontId="3" fillId="4" borderId="1" xfId="1" applyNumberFormat="1" applyFont="1" applyFill="1" applyBorder="1" applyAlignment="1" applyProtection="1">
      <alignment horizontal="center" vertical="center"/>
    </xf>
    <xf numFmtId="165" fontId="3" fillId="4" borderId="0" xfId="1" applyNumberFormat="1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</xf>
    <xf numFmtId="1" fontId="2" fillId="4" borderId="1" xfId="0" applyNumberFormat="1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wrapText="1"/>
    </xf>
    <xf numFmtId="0" fontId="0" fillId="0" borderId="0" xfId="0" applyFill="1"/>
    <xf numFmtId="0" fontId="5" fillId="4" borderId="0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3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left" vertical="center" wrapText="1"/>
    </xf>
    <xf numFmtId="1" fontId="2" fillId="4" borderId="9" xfId="0" applyNumberFormat="1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</xf>
    <xf numFmtId="165" fontId="3" fillId="4" borderId="9" xfId="1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right" vertical="center" wrapText="1"/>
    </xf>
    <xf numFmtId="0" fontId="2" fillId="4" borderId="9" xfId="0" applyFont="1" applyFill="1" applyBorder="1" applyAlignment="1" applyProtection="1">
      <alignment horizontal="right" vertical="center" wrapText="1"/>
    </xf>
    <xf numFmtId="0" fontId="2" fillId="4" borderId="3" xfId="0" applyFont="1" applyFill="1" applyBorder="1" applyAlignment="1" applyProtection="1">
      <alignment horizontal="right" vertical="center" wrapText="1"/>
    </xf>
    <xf numFmtId="1" fontId="3" fillId="4" borderId="3" xfId="0" applyNumberFormat="1" applyFont="1" applyFill="1" applyBorder="1" applyAlignment="1" applyProtection="1">
      <alignment horizontal="center" vertical="center"/>
    </xf>
    <xf numFmtId="1" fontId="3" fillId="4" borderId="1" xfId="0" applyNumberFormat="1" applyFont="1" applyFill="1" applyBorder="1" applyAlignment="1" applyProtection="1">
      <alignment horizontal="center" vertical="center" wrapText="1"/>
    </xf>
    <xf numFmtId="1" fontId="3" fillId="3" borderId="1" xfId="0" applyNumberFormat="1" applyFont="1" applyFill="1" applyBorder="1" applyAlignment="1" applyProtection="1">
      <alignment horizontal="center" vertical="center" wrapText="1"/>
    </xf>
    <xf numFmtId="9" fontId="4" fillId="4" borderId="2" xfId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2" fillId="4" borderId="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left" vertical="center"/>
    </xf>
    <xf numFmtId="9" fontId="2" fillId="4" borderId="0" xfId="1" applyFont="1" applyFill="1" applyBorder="1" applyAlignment="1" applyProtection="1">
      <alignment horizontal="center"/>
    </xf>
    <xf numFmtId="165" fontId="15" fillId="4" borderId="0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2" fillId="4" borderId="5" xfId="0" applyFont="1" applyFill="1" applyBorder="1" applyAlignment="1" applyProtection="1">
      <alignment horizontal="right" vertical="center"/>
    </xf>
    <xf numFmtId="165" fontId="2" fillId="3" borderId="1" xfId="1" applyNumberFormat="1" applyFont="1" applyFill="1" applyBorder="1" applyAlignment="1" applyProtection="1">
      <alignment horizontal="center" vertical="center"/>
    </xf>
    <xf numFmtId="1" fontId="2" fillId="0" borderId="1" xfId="1" applyNumberFormat="1" applyFont="1" applyFill="1" applyBorder="1" applyAlignment="1" applyProtection="1">
      <alignment horizontal="center" vertical="center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1" fontId="2" fillId="4" borderId="1" xfId="1" applyNumberFormat="1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1" fillId="4" borderId="0" xfId="0" applyFont="1" applyFill="1" applyBorder="1" applyAlignment="1" applyProtection="1">
      <alignment vertical="center" wrapText="1"/>
      <protection locked="0"/>
    </xf>
    <xf numFmtId="0" fontId="4" fillId="4" borderId="0" xfId="0" applyFont="1" applyFill="1" applyBorder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24" fillId="4" borderId="0" xfId="730" applyFont="1" applyFill="1" applyBorder="1" applyAlignment="1" applyProtection="1">
      <alignment horizontal="center" vertical="center" wrapText="1"/>
      <protection locked="0"/>
    </xf>
    <xf numFmtId="0" fontId="24" fillId="4" borderId="0" xfId="730" applyFont="1" applyFill="1" applyBorder="1" applyAlignment="1" applyProtection="1">
      <alignment horizontal="left" vertical="center"/>
      <protection locked="0"/>
    </xf>
    <xf numFmtId="0" fontId="24" fillId="4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1" fontId="0" fillId="4" borderId="0" xfId="0" applyNumberForma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left" vertical="center"/>
      <protection locked="0"/>
    </xf>
    <xf numFmtId="9" fontId="0" fillId="4" borderId="0" xfId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vertical="center"/>
      <protection locked="0"/>
    </xf>
    <xf numFmtId="0" fontId="23" fillId="4" borderId="0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1" fontId="0" fillId="4" borderId="0" xfId="0" applyNumberFormat="1" applyFill="1" applyBorder="1" applyAlignment="1" applyProtection="1">
      <alignment horizontal="left" vertical="center"/>
      <protection locked="0"/>
    </xf>
    <xf numFmtId="9" fontId="0" fillId="4" borderId="0" xfId="1" applyNumberFormat="1" applyFont="1" applyFill="1" applyBorder="1" applyAlignment="1" applyProtection="1">
      <alignment horizontal="center" vertical="center"/>
      <protection locked="0"/>
    </xf>
    <xf numFmtId="165" fontId="0" fillId="4" borderId="0" xfId="1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9" fontId="2" fillId="4" borderId="0" xfId="1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2" fillId="4" borderId="0" xfId="0" applyFont="1" applyFill="1" applyAlignment="1" applyProtection="1">
      <alignment vertical="center" wrapText="1"/>
      <protection locked="0"/>
    </xf>
    <xf numFmtId="166" fontId="0" fillId="4" borderId="0" xfId="0" applyNumberFormat="1" applyFill="1" applyBorder="1" applyAlignment="1" applyProtection="1">
      <alignment horizontal="center" vertical="center"/>
      <protection locked="0"/>
    </xf>
    <xf numFmtId="165" fontId="0" fillId="4" borderId="0" xfId="0" applyNumberFormat="1" applyFill="1" applyBorder="1" applyAlignment="1" applyProtection="1">
      <alignment horizontal="center" vertical="center"/>
      <protection locked="0"/>
    </xf>
    <xf numFmtId="1" fontId="0" fillId="4" borderId="0" xfId="0" applyNumberFormat="1" applyFill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1" fontId="0" fillId="4" borderId="0" xfId="0" applyNumberFormat="1" applyFill="1" applyAlignment="1" applyProtection="1">
      <alignment vertical="center"/>
      <protection locked="0"/>
    </xf>
    <xf numFmtId="1" fontId="2" fillId="4" borderId="0" xfId="0" applyNumberFormat="1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9" fontId="0" fillId="4" borderId="0" xfId="0" applyNumberFormat="1" applyFill="1" applyAlignment="1" applyProtection="1">
      <alignment horizontal="center" vertical="center"/>
      <protection locked="0"/>
    </xf>
    <xf numFmtId="9" fontId="2" fillId="4" borderId="0" xfId="0" applyNumberFormat="1" applyFont="1" applyFill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vertical="center"/>
      <protection locked="0"/>
    </xf>
    <xf numFmtId="9" fontId="0" fillId="4" borderId="0" xfId="0" applyNumberFormat="1" applyFill="1" applyAlignment="1" applyProtection="1">
      <alignment vertical="center"/>
      <protection locked="0"/>
    </xf>
    <xf numFmtId="165" fontId="0" fillId="4" borderId="0" xfId="0" applyNumberForma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9" fontId="0" fillId="4" borderId="0" xfId="1" applyFont="1" applyFill="1" applyBorder="1" applyAlignment="1" applyProtection="1">
      <alignment vertical="center"/>
      <protection locked="0"/>
    </xf>
    <xf numFmtId="1" fontId="0" fillId="4" borderId="0" xfId="0" applyNumberFormat="1" applyFill="1" applyBorder="1" applyAlignment="1" applyProtection="1">
      <alignment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1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1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ill="1" applyBorder="1" applyAlignment="1" applyProtection="1">
      <alignment vertical="center" wrapText="1"/>
      <protection locked="0"/>
    </xf>
    <xf numFmtId="0" fontId="19" fillId="4" borderId="0" xfId="0" applyFont="1" applyFill="1" applyBorder="1" applyAlignment="1" applyProtection="1">
      <alignment horizontal="left" vertical="center"/>
      <protection locked="0"/>
    </xf>
    <xf numFmtId="0" fontId="19" fillId="4" borderId="0" xfId="0" applyFont="1" applyFill="1" applyBorder="1" applyAlignment="1" applyProtection="1">
      <alignment vertical="center"/>
      <protection locked="0"/>
    </xf>
    <xf numFmtId="1" fontId="19" fillId="4" borderId="0" xfId="0" applyNumberFormat="1" applyFont="1" applyFill="1" applyBorder="1" applyAlignment="1" applyProtection="1">
      <alignment horizontal="left" vertical="center"/>
      <protection locked="0"/>
    </xf>
    <xf numFmtId="164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747" applyFont="1" applyFill="1" applyBorder="1" applyAlignment="1" applyProtection="1">
      <alignment vertical="center" wrapText="1"/>
    </xf>
    <xf numFmtId="0" fontId="46" fillId="0" borderId="32" xfId="0" applyFont="1" applyBorder="1" applyAlignment="1">
      <alignment horizontal="center" vertical="center"/>
    </xf>
    <xf numFmtId="1" fontId="47" fillId="6" borderId="9" xfId="0" applyNumberFormat="1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left" vertical="center"/>
    </xf>
    <xf numFmtId="0" fontId="49" fillId="4" borderId="0" xfId="0" applyFont="1" applyFill="1" applyBorder="1" applyAlignment="1" applyProtection="1">
      <alignment vertical="center" wrapText="1"/>
    </xf>
    <xf numFmtId="0" fontId="49" fillId="4" borderId="0" xfId="0" applyFont="1" applyFill="1" applyBorder="1" applyAlignment="1" applyProtection="1">
      <alignment horizontal="right" vertical="center"/>
    </xf>
    <xf numFmtId="1" fontId="50" fillId="4" borderId="0" xfId="0" applyNumberFormat="1" applyFont="1" applyFill="1" applyBorder="1" applyAlignment="1" applyProtection="1">
      <alignment horizontal="center" vertical="center"/>
      <protection hidden="1"/>
    </xf>
    <xf numFmtId="0" fontId="49" fillId="4" borderId="0" xfId="0" applyFont="1" applyFill="1" applyBorder="1" applyAlignment="1" applyProtection="1">
      <alignment horizontal="right" vertical="center" wrapText="1"/>
    </xf>
    <xf numFmtId="1" fontId="50" fillId="4" borderId="0" xfId="0" applyNumberFormat="1" applyFont="1" applyFill="1" applyBorder="1" applyAlignment="1" applyProtection="1">
      <alignment horizontal="center" vertical="center"/>
    </xf>
    <xf numFmtId="0" fontId="51" fillId="4" borderId="0" xfId="0" applyFont="1" applyFill="1" applyBorder="1" applyAlignment="1" applyProtection="1">
      <alignment vertical="center" wrapText="1"/>
      <protection locked="0"/>
    </xf>
    <xf numFmtId="0" fontId="52" fillId="4" borderId="0" xfId="0" applyFont="1" applyFill="1" applyBorder="1" applyAlignment="1" applyProtection="1">
      <alignment vertical="center" wrapText="1"/>
      <protection locked="0"/>
    </xf>
    <xf numFmtId="0" fontId="53" fillId="4" borderId="0" xfId="0" applyFont="1" applyFill="1" applyBorder="1" applyAlignment="1" applyProtection="1">
      <alignment vertical="center"/>
      <protection locked="0"/>
    </xf>
    <xf numFmtId="0" fontId="53" fillId="4" borderId="0" xfId="0" applyFont="1" applyFill="1" applyAlignment="1" applyProtection="1">
      <alignment vertical="center"/>
      <protection locked="0"/>
    </xf>
    <xf numFmtId="0" fontId="53" fillId="0" borderId="0" xfId="0" applyFont="1" applyFill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  <protection locked="0"/>
    </xf>
    <xf numFmtId="0" fontId="53" fillId="0" borderId="0" xfId="0" applyFont="1" applyAlignment="1" applyProtection="1">
      <alignment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25" xfId="0" applyFont="1" applyBorder="1" applyAlignment="1">
      <alignment horizontal="center"/>
    </xf>
    <xf numFmtId="0" fontId="3" fillId="0" borderId="26" xfId="0" applyFont="1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5" xfId="0" applyBorder="1"/>
    <xf numFmtId="0" fontId="0" fillId="0" borderId="0" xfId="0" applyBorder="1"/>
    <xf numFmtId="0" fontId="0" fillId="0" borderId="34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2" xfId="0" applyBorder="1"/>
    <xf numFmtId="0" fontId="0" fillId="0" borderId="33" xfId="0" applyBorder="1" applyAlignment="1">
      <alignment wrapText="1"/>
    </xf>
    <xf numFmtId="0" fontId="54" fillId="15" borderId="34" xfId="0" applyFont="1" applyFill="1" applyBorder="1"/>
    <xf numFmtId="0" fontId="54" fillId="15" borderId="33" xfId="0" applyFont="1" applyFill="1" applyBorder="1"/>
    <xf numFmtId="0" fontId="54" fillId="15" borderId="33" xfId="0" applyFont="1" applyFill="1" applyBorder="1" applyAlignment="1">
      <alignment horizontal="center"/>
    </xf>
    <xf numFmtId="0" fontId="54" fillId="15" borderId="32" xfId="0" applyFont="1" applyFill="1" applyBorder="1"/>
    <xf numFmtId="0" fontId="54" fillId="4" borderId="0" xfId="0" applyFont="1" applyFill="1"/>
    <xf numFmtId="0" fontId="54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54" fillId="16" borderId="7" xfId="0" applyFont="1" applyFill="1" applyBorder="1"/>
    <xf numFmtId="0" fontId="54" fillId="16" borderId="0" xfId="0" applyFont="1" applyFill="1" applyBorder="1"/>
    <xf numFmtId="0" fontId="54" fillId="16" borderId="0" xfId="0" applyFont="1" applyFill="1" applyBorder="1" applyAlignment="1">
      <alignment horizontal="center"/>
    </xf>
    <xf numFmtId="0" fontId="54" fillId="16" borderId="35" xfId="0" applyFont="1" applyFill="1" applyBorder="1"/>
    <xf numFmtId="0" fontId="54" fillId="16" borderId="40" xfId="0" applyFont="1" applyFill="1" applyBorder="1"/>
    <xf numFmtId="0" fontId="54" fillId="16" borderId="27" xfId="0" applyFont="1" applyFill="1" applyBorder="1"/>
    <xf numFmtId="0" fontId="54" fillId="16" borderId="27" xfId="0" applyFont="1" applyFill="1" applyBorder="1" applyAlignment="1">
      <alignment horizontal="center"/>
    </xf>
    <xf numFmtId="0" fontId="54" fillId="16" borderId="28" xfId="0" applyFont="1" applyFill="1" applyBorder="1"/>
    <xf numFmtId="9" fontId="2" fillId="4" borderId="3" xfId="0" applyNumberFormat="1" applyFont="1" applyFill="1" applyBorder="1" applyAlignment="1">
      <alignment horizontal="left" vertical="center"/>
    </xf>
    <xf numFmtId="9" fontId="0" fillId="4" borderId="6" xfId="0" applyNumberFormat="1" applyFill="1" applyBorder="1" applyAlignment="1">
      <alignment horizontal="right" vertical="center"/>
    </xf>
    <xf numFmtId="9" fontId="0" fillId="4" borderId="0" xfId="0" applyNumberFormat="1" applyFill="1" applyAlignment="1" applyProtection="1">
      <alignment horizontal="center" vertical="center"/>
    </xf>
    <xf numFmtId="165" fontId="3" fillId="4" borderId="0" xfId="0" applyNumberFormat="1" applyFont="1" applyFill="1" applyBorder="1" applyAlignment="1" applyProtection="1">
      <alignment horizontal="center" vertical="center"/>
    </xf>
    <xf numFmtId="10" fontId="3" fillId="4" borderId="0" xfId="0" applyNumberFormat="1" applyFont="1" applyFill="1" applyBorder="1" applyAlignment="1" applyProtection="1">
      <alignment horizontal="center" vertical="center"/>
    </xf>
    <xf numFmtId="165" fontId="0" fillId="4" borderId="2" xfId="0" applyNumberFormat="1" applyFill="1" applyBorder="1" applyAlignment="1">
      <alignment horizontal="right" vertical="center"/>
    </xf>
    <xf numFmtId="9" fontId="2" fillId="4" borderId="2" xfId="0" applyNumberFormat="1" applyFont="1" applyFill="1" applyBorder="1" applyAlignment="1">
      <alignment horizontal="center" vertical="center"/>
    </xf>
    <xf numFmtId="9" fontId="0" fillId="4" borderId="2" xfId="0" applyNumberFormat="1" applyFill="1" applyBorder="1" applyAlignment="1">
      <alignment horizontal="left" vertical="center"/>
    </xf>
    <xf numFmtId="9" fontId="0" fillId="4" borderId="5" xfId="0" applyNumberFormat="1" applyFill="1" applyBorder="1" applyAlignment="1">
      <alignment horizontal="right" vertical="center"/>
    </xf>
    <xf numFmtId="9" fontId="3" fillId="4" borderId="0" xfId="1" applyFont="1" applyFill="1" applyBorder="1" applyAlignment="1" applyProtection="1">
      <alignment horizontal="center" vertical="center"/>
    </xf>
    <xf numFmtId="9" fontId="23" fillId="7" borderId="3" xfId="0" applyNumberFormat="1" applyFont="1" applyFill="1" applyBorder="1" applyAlignment="1" applyProtection="1">
      <alignment vertical="center" wrapText="1"/>
    </xf>
    <xf numFmtId="0" fontId="32" fillId="8" borderId="1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5" fillId="7" borderId="4" xfId="0" applyFont="1" applyFill="1" applyBorder="1" applyAlignment="1" applyProtection="1">
      <alignment horizontal="left" vertical="center"/>
    </xf>
    <xf numFmtId="0" fontId="55" fillId="4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center" vertical="center"/>
      <protection locked="0"/>
    </xf>
    <xf numFmtId="0" fontId="21" fillId="7" borderId="0" xfId="0" applyFont="1" applyFill="1" applyBorder="1" applyAlignment="1" applyProtection="1">
      <alignment vertical="center" wrapText="1"/>
    </xf>
    <xf numFmtId="0" fontId="21" fillId="7" borderId="0" xfId="0" applyFont="1" applyFill="1" applyBorder="1" applyAlignment="1" applyProtection="1">
      <alignment horizontal="right" vertical="center"/>
    </xf>
    <xf numFmtId="1" fontId="4" fillId="7" borderId="0" xfId="0" applyNumberFormat="1" applyFont="1" applyFill="1" applyBorder="1" applyAlignment="1" applyProtection="1">
      <alignment horizontal="center" vertical="center"/>
      <protection hidden="1"/>
    </xf>
    <xf numFmtId="0" fontId="21" fillId="7" borderId="0" xfId="0" applyFont="1" applyFill="1" applyBorder="1" applyAlignment="1" applyProtection="1">
      <alignment horizontal="right" vertical="center" wrapText="1"/>
    </xf>
    <xf numFmtId="1" fontId="4" fillId="7" borderId="0" xfId="0" applyNumberFormat="1" applyFont="1" applyFill="1" applyBorder="1" applyAlignment="1" applyProtection="1">
      <alignment horizontal="center" vertical="center"/>
    </xf>
    <xf numFmtId="0" fontId="17" fillId="7" borderId="0" xfId="0" applyFont="1" applyFill="1" applyBorder="1" applyAlignment="1" applyProtection="1">
      <alignment horizontal="left" vertical="center" indent="1"/>
    </xf>
    <xf numFmtId="9" fontId="2" fillId="17" borderId="9" xfId="1" applyNumberFormat="1" applyFont="1" applyFill="1" applyBorder="1" applyAlignment="1" applyProtection="1">
      <alignment horizontal="center" vertical="center"/>
    </xf>
    <xf numFmtId="0" fontId="56" fillId="4" borderId="0" xfId="0" applyFont="1" applyFill="1" applyBorder="1" applyAlignment="1" applyProtection="1">
      <alignment vertical="center" wrapText="1"/>
    </xf>
    <xf numFmtId="1" fontId="2" fillId="3" borderId="4" xfId="0" applyNumberFormat="1" applyFont="1" applyFill="1" applyBorder="1" applyAlignment="1" applyProtection="1">
      <alignment horizontal="center" vertical="center"/>
    </xf>
    <xf numFmtId="9" fontId="2" fillId="4" borderId="0" xfId="1" applyFont="1" applyFill="1" applyBorder="1" applyAlignment="1" applyProtection="1">
      <alignment horizontal="center" vertical="center"/>
    </xf>
    <xf numFmtId="0" fontId="23" fillId="7" borderId="4" xfId="0" applyFont="1" applyFill="1" applyBorder="1" applyAlignment="1" applyProtection="1">
      <alignment vertical="center"/>
    </xf>
    <xf numFmtId="0" fontId="26" fillId="7" borderId="3" xfId="0" applyFont="1" applyFill="1" applyBorder="1" applyAlignment="1" applyProtection="1">
      <alignment vertical="center" wrapText="1"/>
    </xf>
    <xf numFmtId="0" fontId="57" fillId="0" borderId="1" xfId="0" applyFont="1" applyFill="1" applyBorder="1" applyAlignment="1" applyProtection="1">
      <alignment horizontal="left" vertical="center" wrapText="1"/>
    </xf>
    <xf numFmtId="0" fontId="57" fillId="0" borderId="1" xfId="0" applyFont="1" applyFill="1" applyBorder="1" applyAlignment="1" applyProtection="1">
      <alignment vertical="center" wrapText="1"/>
    </xf>
    <xf numFmtId="1" fontId="2" fillId="0" borderId="4" xfId="0" applyNumberFormat="1" applyFont="1" applyFill="1" applyBorder="1" applyAlignment="1" applyProtection="1">
      <alignment horizontal="center" vertical="center"/>
    </xf>
    <xf numFmtId="165" fontId="0" fillId="4" borderId="9" xfId="0" applyNumberFormat="1" applyFill="1" applyBorder="1" applyAlignment="1">
      <alignment horizontal="left" vertical="center"/>
    </xf>
    <xf numFmtId="165" fontId="0" fillId="4" borderId="3" xfId="0" applyNumberFormat="1" applyFill="1" applyBorder="1" applyAlignment="1">
      <alignment horizontal="left" vertical="center"/>
    </xf>
    <xf numFmtId="0" fontId="59" fillId="0" borderId="33" xfId="0" applyFont="1" applyBorder="1" applyAlignment="1">
      <alignment vertical="center"/>
    </xf>
    <xf numFmtId="0" fontId="37" fillId="11" borderId="33" xfId="0" applyFont="1" applyFill="1" applyBorder="1" applyAlignment="1">
      <alignment horizontal="right" vertical="center"/>
    </xf>
    <xf numFmtId="0" fontId="0" fillId="0" borderId="28" xfId="0" applyBorder="1"/>
    <xf numFmtId="0" fontId="60" fillId="18" borderId="19" xfId="0" applyFont="1" applyFill="1" applyBorder="1" applyAlignment="1">
      <alignment wrapText="1"/>
    </xf>
    <xf numFmtId="0" fontId="58" fillId="18" borderId="0" xfId="0" applyFont="1" applyFill="1" applyAlignment="1">
      <alignment horizontal="center" vertical="center"/>
    </xf>
    <xf numFmtId="0" fontId="60" fillId="18" borderId="19" xfId="0" applyFont="1" applyFill="1" applyBorder="1" applyAlignment="1">
      <alignment vertical="center" wrapText="1"/>
    </xf>
    <xf numFmtId="0" fontId="0" fillId="18" borderId="19" xfId="0" applyFill="1" applyBorder="1" applyAlignment="1">
      <alignment wrapText="1"/>
    </xf>
    <xf numFmtId="0" fontId="59" fillId="0" borderId="32" xfId="0" applyFont="1" applyBorder="1" applyAlignment="1">
      <alignment horizontal="center" vertical="center"/>
    </xf>
    <xf numFmtId="0" fontId="62" fillId="0" borderId="0" xfId="0" applyFont="1"/>
    <xf numFmtId="0" fontId="61" fillId="19" borderId="1" xfId="0" applyFont="1" applyFill="1" applyBorder="1" applyAlignment="1">
      <alignment vertical="center" wrapText="1"/>
    </xf>
    <xf numFmtId="0" fontId="61" fillId="9" borderId="11" xfId="0" applyFont="1" applyFill="1" applyBorder="1" applyAlignment="1">
      <alignment vertical="center" wrapText="1"/>
    </xf>
    <xf numFmtId="0" fontId="0" fillId="20" borderId="11" xfId="0" applyFill="1" applyBorder="1" applyAlignment="1">
      <alignment vertical="center" wrapText="1"/>
    </xf>
    <xf numFmtId="0" fontId="0" fillId="20" borderId="8" xfId="0" applyFill="1" applyBorder="1" applyAlignment="1">
      <alignment vertical="center" wrapText="1"/>
    </xf>
    <xf numFmtId="0" fontId="10" fillId="4" borderId="0" xfId="0" applyFont="1" applyFill="1" applyBorder="1" applyAlignment="1" applyProtection="1">
      <alignment horizontal="right" vertical="center"/>
    </xf>
    <xf numFmtId="0" fontId="65" fillId="4" borderId="0" xfId="0" applyFont="1" applyFill="1" applyAlignment="1" applyProtection="1">
      <alignment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73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9" fontId="0" fillId="4" borderId="3" xfId="0" applyNumberFormat="1" applyFill="1" applyBorder="1" applyAlignment="1">
      <alignment horizontal="left" vertical="center"/>
    </xf>
    <xf numFmtId="0" fontId="23" fillId="7" borderId="4" xfId="0" applyFont="1" applyFill="1" applyBorder="1" applyAlignment="1" applyProtection="1">
      <alignment horizontal="left" vertical="center" wrapText="1"/>
    </xf>
    <xf numFmtId="0" fontId="23" fillId="7" borderId="3" xfId="0" applyFont="1" applyFill="1" applyBorder="1" applyAlignment="1" applyProtection="1">
      <alignment horizontal="left" vertical="center" wrapText="1"/>
    </xf>
    <xf numFmtId="0" fontId="0" fillId="4" borderId="0" xfId="0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1" fontId="0" fillId="4" borderId="0" xfId="0" applyNumberForma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0" xfId="0" applyFont="1" applyFill="1" applyBorder="1" applyAlignment="1" applyProtection="1">
      <alignment horizontal="right" vertical="center" wrapText="1"/>
    </xf>
    <xf numFmtId="3" fontId="0" fillId="12" borderId="1" xfId="0" applyNumberFormat="1" applyFont="1" applyFill="1" applyBorder="1" applyAlignment="1" applyProtection="1">
      <alignment horizontal="center" vertical="center"/>
      <protection locked="0"/>
    </xf>
    <xf numFmtId="0" fontId="40" fillId="4" borderId="4" xfId="730" applyFont="1" applyFill="1" applyBorder="1" applyAlignment="1" applyProtection="1">
      <alignment horizontal="center" vertical="center" wrapText="1"/>
    </xf>
    <xf numFmtId="0" fontId="40" fillId="4" borderId="3" xfId="730" applyFont="1" applyFill="1" applyBorder="1" applyAlignment="1" applyProtection="1">
      <alignment horizontal="center" vertical="center" wrapText="1"/>
    </xf>
    <xf numFmtId="0" fontId="40" fillId="4" borderId="9" xfId="73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73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 hidden="1"/>
    </xf>
    <xf numFmtId="0" fontId="2" fillId="0" borderId="3" xfId="0" applyFont="1" applyFill="1" applyBorder="1" applyAlignment="1" applyProtection="1">
      <alignment horizontal="center" vertical="center"/>
      <protection locked="0" hidden="1"/>
    </xf>
    <xf numFmtId="0" fontId="2" fillId="0" borderId="9" xfId="0" applyFont="1" applyFill="1" applyBorder="1" applyAlignment="1" applyProtection="1">
      <alignment horizontal="center" vertical="center"/>
      <protection locked="0" hidden="1"/>
    </xf>
    <xf numFmtId="165" fontId="4" fillId="4" borderId="4" xfId="1" applyNumberFormat="1" applyFont="1" applyFill="1" applyBorder="1" applyAlignment="1" applyProtection="1">
      <alignment horizontal="center" vertical="center"/>
      <protection locked="0"/>
    </xf>
    <xf numFmtId="165" fontId="4" fillId="4" borderId="3" xfId="1" applyNumberFormat="1" applyFont="1" applyFill="1" applyBorder="1" applyAlignment="1" applyProtection="1">
      <alignment horizontal="center" vertical="center"/>
      <protection locked="0"/>
    </xf>
    <xf numFmtId="165" fontId="4" fillId="4" borderId="9" xfId="1" applyNumberFormat="1" applyFont="1" applyFill="1" applyBorder="1" applyAlignment="1" applyProtection="1">
      <alignment horizontal="center" vertical="center"/>
      <protection locked="0"/>
    </xf>
    <xf numFmtId="0" fontId="24" fillId="4" borderId="3" xfId="730" applyFont="1" applyFill="1" applyBorder="1" applyAlignment="1" applyProtection="1">
      <alignment horizontal="center" vertical="center" wrapText="1"/>
    </xf>
    <xf numFmtId="0" fontId="24" fillId="4" borderId="9" xfId="730" applyFont="1" applyFill="1" applyBorder="1" applyAlignment="1" applyProtection="1">
      <alignment horizontal="center" vertical="center" wrapText="1"/>
    </xf>
    <xf numFmtId="1" fontId="29" fillId="4" borderId="4" xfId="0" applyNumberFormat="1" applyFont="1" applyFill="1" applyBorder="1" applyAlignment="1" applyProtection="1">
      <alignment horizontal="center" vertical="center" wrapText="1"/>
    </xf>
    <xf numFmtId="1" fontId="29" fillId="4" borderId="3" xfId="0" applyNumberFormat="1" applyFont="1" applyFill="1" applyBorder="1" applyAlignment="1" applyProtection="1">
      <alignment horizontal="center" vertical="center" wrapText="1"/>
    </xf>
    <xf numFmtId="1" fontId="29" fillId="4" borderId="9" xfId="0" applyNumberFormat="1" applyFont="1" applyFill="1" applyBorder="1" applyAlignment="1" applyProtection="1">
      <alignment horizontal="center" vertical="center" wrapText="1"/>
    </xf>
    <xf numFmtId="1" fontId="4" fillId="8" borderId="20" xfId="0" applyNumberFormat="1" applyFont="1" applyFill="1" applyBorder="1" applyAlignment="1" applyProtection="1">
      <alignment horizontal="center" vertical="center"/>
      <protection hidden="1"/>
    </xf>
    <xf numFmtId="1" fontId="4" fillId="8" borderId="21" xfId="0" applyNumberFormat="1" applyFont="1" applyFill="1" applyBorder="1" applyAlignment="1" applyProtection="1">
      <alignment horizontal="center" vertical="center"/>
      <protection hidden="1"/>
    </xf>
    <xf numFmtId="1" fontId="4" fillId="8" borderId="22" xfId="0" applyNumberFormat="1" applyFont="1" applyFill="1" applyBorder="1" applyAlignment="1" applyProtection="1">
      <alignment horizontal="center" vertical="center"/>
      <protection hidden="1"/>
    </xf>
    <xf numFmtId="0" fontId="20" fillId="6" borderId="12" xfId="0" applyFont="1" applyFill="1" applyBorder="1" applyAlignment="1" applyProtection="1">
      <alignment horizontal="center" vertical="center" wrapText="1"/>
    </xf>
    <xf numFmtId="0" fontId="20" fillId="6" borderId="6" xfId="0" applyFont="1" applyFill="1" applyBorder="1" applyAlignment="1" applyProtection="1">
      <alignment horizontal="center" vertical="center" wrapText="1"/>
    </xf>
    <xf numFmtId="0" fontId="20" fillId="6" borderId="10" xfId="0" applyFont="1" applyFill="1" applyBorder="1" applyAlignment="1" applyProtection="1">
      <alignment horizontal="center" vertical="center" wrapText="1"/>
    </xf>
    <xf numFmtId="0" fontId="22" fillId="5" borderId="14" xfId="0" applyFont="1" applyFill="1" applyBorder="1" applyAlignment="1" applyProtection="1">
      <alignment horizontal="center" vertical="center" wrapText="1"/>
    </xf>
    <xf numFmtId="0" fontId="22" fillId="5" borderId="2" xfId="0" applyFont="1" applyFill="1" applyBorder="1" applyAlignment="1" applyProtection="1">
      <alignment horizontal="center" vertical="center" wrapText="1"/>
    </xf>
    <xf numFmtId="0" fontId="22" fillId="5" borderId="15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right" vertical="center" wrapText="1"/>
    </xf>
    <xf numFmtId="0" fontId="0" fillId="4" borderId="0" xfId="0" applyFont="1" applyFill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left" vertical="center" wrapText="1"/>
    </xf>
    <xf numFmtId="1" fontId="21" fillId="6" borderId="3" xfId="0" applyNumberFormat="1" applyFont="1" applyFill="1" applyBorder="1" applyAlignment="1" applyProtection="1">
      <alignment horizontal="center" vertical="center"/>
      <protection hidden="1"/>
    </xf>
    <xf numFmtId="1" fontId="4" fillId="6" borderId="3" xfId="0" applyNumberFormat="1" applyFont="1" applyFill="1" applyBorder="1" applyAlignment="1" applyProtection="1">
      <alignment horizontal="center" vertical="center"/>
      <protection hidden="1"/>
    </xf>
    <xf numFmtId="9" fontId="0" fillId="4" borderId="4" xfId="0" applyNumberFormat="1" applyFill="1" applyBorder="1" applyAlignment="1">
      <alignment horizontal="left" vertical="center"/>
    </xf>
    <xf numFmtId="9" fontId="0" fillId="4" borderId="3" xfId="0" applyNumberFormat="1" applyFill="1" applyBorder="1" applyAlignment="1">
      <alignment horizontal="left" vertical="center"/>
    </xf>
    <xf numFmtId="9" fontId="0" fillId="4" borderId="9" xfId="0" applyNumberFormat="1" applyFill="1" applyBorder="1" applyAlignment="1">
      <alignment horizontal="left" vertical="center"/>
    </xf>
    <xf numFmtId="9" fontId="2" fillId="2" borderId="10" xfId="1" applyNumberFormat="1" applyFont="1" applyFill="1" applyBorder="1" applyAlignment="1" applyProtection="1">
      <alignment horizontal="center" vertical="center"/>
      <protection locked="0"/>
    </xf>
    <xf numFmtId="9" fontId="2" fillId="2" borderId="15" xfId="1" applyNumberFormat="1" applyFont="1" applyFill="1" applyBorder="1" applyAlignment="1" applyProtection="1">
      <alignment horizontal="center" vertical="center"/>
      <protection locked="0"/>
    </xf>
    <xf numFmtId="0" fontId="23" fillId="7" borderId="4" xfId="0" applyFont="1" applyFill="1" applyBorder="1" applyAlignment="1" applyProtection="1">
      <alignment horizontal="left" vertical="center" wrapText="1"/>
    </xf>
    <xf numFmtId="0" fontId="23" fillId="7" borderId="3" xfId="0" applyFont="1" applyFill="1" applyBorder="1" applyAlignment="1" applyProtection="1">
      <alignment horizontal="left" vertical="center" wrapText="1"/>
    </xf>
    <xf numFmtId="0" fontId="0" fillId="4" borderId="5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29" fillId="4" borderId="4" xfId="0" applyFont="1" applyFill="1" applyBorder="1" applyAlignment="1" applyProtection="1">
      <alignment horizontal="center" vertical="center" wrapText="1"/>
    </xf>
    <xf numFmtId="0" fontId="29" fillId="4" borderId="3" xfId="0" applyFont="1" applyFill="1" applyBorder="1" applyAlignment="1" applyProtection="1">
      <alignment horizontal="center" vertical="center" wrapText="1"/>
    </xf>
    <xf numFmtId="1" fontId="7" fillId="8" borderId="20" xfId="0" applyNumberFormat="1" applyFont="1" applyFill="1" applyBorder="1" applyAlignment="1" applyProtection="1">
      <alignment horizontal="center" vertical="center"/>
      <protection hidden="1"/>
    </xf>
    <xf numFmtId="1" fontId="7" fillId="8" borderId="21" xfId="0" applyNumberFormat="1" applyFont="1" applyFill="1" applyBorder="1" applyAlignment="1" applyProtection="1">
      <alignment horizontal="center" vertical="center"/>
      <protection hidden="1"/>
    </xf>
    <xf numFmtId="1" fontId="7" fillId="8" borderId="22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4" borderId="1" xfId="0" applyFont="1" applyFill="1" applyBorder="1" applyAlignment="1" applyProtection="1">
      <alignment vertical="center"/>
    </xf>
    <xf numFmtId="0" fontId="2" fillId="4" borderId="36" xfId="0" applyFont="1" applyFill="1" applyBorder="1" applyAlignment="1" applyProtection="1">
      <alignment horizontal="left" vertical="center"/>
    </xf>
    <xf numFmtId="0" fontId="2" fillId="4" borderId="37" xfId="0" applyFont="1" applyFill="1" applyBorder="1" applyAlignment="1" applyProtection="1">
      <alignment horizontal="left" vertical="center"/>
    </xf>
    <xf numFmtId="0" fontId="24" fillId="4" borderId="12" xfId="0" applyFont="1" applyFill="1" applyBorder="1" applyAlignment="1" applyProtection="1">
      <alignment horizontal="center" vertical="center" wrapText="1"/>
    </xf>
    <xf numFmtId="0" fontId="24" fillId="4" borderId="6" xfId="0" applyFont="1" applyFill="1" applyBorder="1" applyAlignment="1" applyProtection="1">
      <alignment horizontal="center" vertical="center" wrapText="1"/>
    </xf>
    <xf numFmtId="0" fontId="24" fillId="4" borderId="10" xfId="0" applyFont="1" applyFill="1" applyBorder="1" applyAlignment="1" applyProtection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</xf>
    <xf numFmtId="0" fontId="24" fillId="4" borderId="2" xfId="0" applyFont="1" applyFill="1" applyBorder="1" applyAlignment="1" applyProtection="1">
      <alignment horizontal="center" vertical="center" wrapText="1"/>
    </xf>
    <xf numFmtId="0" fontId="24" fillId="4" borderId="15" xfId="0" applyFont="1" applyFill="1" applyBorder="1" applyAlignment="1" applyProtection="1">
      <alignment horizontal="center" vertical="center" wrapText="1"/>
    </xf>
    <xf numFmtId="0" fontId="64" fillId="7" borderId="4" xfId="0" applyFont="1" applyFill="1" applyBorder="1" applyAlignment="1" applyProtection="1">
      <alignment horizontal="left" vertical="center" wrapText="1"/>
    </xf>
    <xf numFmtId="0" fontId="64" fillId="7" borderId="3" xfId="0" applyFont="1" applyFill="1" applyBorder="1" applyAlignment="1" applyProtection="1">
      <alignment horizontal="left" vertical="center" wrapText="1"/>
    </xf>
    <xf numFmtId="0" fontId="2" fillId="4" borderId="17" xfId="0" applyFont="1" applyFill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horizontal="left" vertical="center"/>
    </xf>
    <xf numFmtId="9" fontId="2" fillId="2" borderId="11" xfId="1" applyNumberFormat="1" applyFont="1" applyFill="1" applyBorder="1" applyAlignment="1" applyProtection="1">
      <alignment horizontal="center" vertical="center"/>
      <protection locked="0"/>
    </xf>
    <xf numFmtId="9" fontId="2" fillId="2" borderId="8" xfId="1" applyNumberFormat="1" applyFon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3" xfId="0" applyNumberFormat="1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/>
    </xf>
    <xf numFmtId="1" fontId="0" fillId="4" borderId="12" xfId="0" applyNumberFormat="1" applyFill="1" applyBorder="1" applyAlignment="1">
      <alignment horizontal="center" vertical="center"/>
    </xf>
    <xf numFmtId="1" fontId="0" fillId="4" borderId="6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" fontId="0" fillId="4" borderId="14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0" fontId="56" fillId="4" borderId="6" xfId="0" applyFont="1" applyFill="1" applyBorder="1" applyAlignment="1" applyProtection="1">
      <alignment horizontal="left" vertical="center" wrapText="1"/>
    </xf>
    <xf numFmtId="0" fontId="56" fillId="4" borderId="1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3" fillId="4" borderId="11" xfId="0" applyFont="1" applyFill="1" applyBorder="1" applyAlignment="1" applyProtection="1">
      <alignment horizontal="center" vertical="center" wrapText="1"/>
    </xf>
    <xf numFmtId="0" fontId="23" fillId="4" borderId="8" xfId="0" applyFont="1" applyFill="1" applyBorder="1" applyAlignment="1" applyProtection="1">
      <alignment horizontal="center" vertical="center" wrapText="1"/>
    </xf>
    <xf numFmtId="0" fontId="63" fillId="4" borderId="0" xfId="0" applyFont="1" applyFill="1" applyBorder="1" applyAlignment="1" applyProtection="1">
      <alignment horizontal="center" vertical="center" wrapText="1"/>
    </xf>
    <xf numFmtId="0" fontId="40" fillId="4" borderId="0" xfId="73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vertical="center"/>
      <protection locked="0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0" fillId="4" borderId="0" xfId="0" applyFont="1" applyFill="1" applyBorder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 wrapText="1"/>
    </xf>
    <xf numFmtId="0" fontId="9" fillId="4" borderId="0" xfId="0" applyFont="1" applyFill="1" applyAlignment="1" applyProtection="1">
      <alignment horizontal="center" vertical="center" wrapText="1"/>
    </xf>
    <xf numFmtId="0" fontId="37" fillId="11" borderId="25" xfId="0" applyFont="1" applyFill="1" applyBorder="1" applyAlignment="1">
      <alignment horizontal="left" vertical="center" indent="1"/>
    </xf>
    <xf numFmtId="0" fontId="37" fillId="11" borderId="26" xfId="0" applyFont="1" applyFill="1" applyBorder="1" applyAlignment="1">
      <alignment horizontal="left" vertical="center" indent="1"/>
    </xf>
    <xf numFmtId="0" fontId="34" fillId="10" borderId="24" xfId="0" applyFont="1" applyFill="1" applyBorder="1" applyAlignment="1">
      <alignment horizontal="center" vertical="center"/>
    </xf>
    <xf numFmtId="0" fontId="34" fillId="10" borderId="25" xfId="0" applyFont="1" applyFill="1" applyBorder="1" applyAlignment="1">
      <alignment horizontal="center" vertical="center"/>
    </xf>
    <xf numFmtId="0" fontId="34" fillId="10" borderId="30" xfId="0" applyFont="1" applyFill="1" applyBorder="1" applyAlignment="1">
      <alignment horizontal="center" vertical="center"/>
    </xf>
    <xf numFmtId="0" fontId="37" fillId="11" borderId="27" xfId="0" applyFont="1" applyFill="1" applyBorder="1" applyAlignment="1">
      <alignment horizontal="left" vertical="center" indent="1"/>
    </xf>
    <xf numFmtId="0" fontId="37" fillId="11" borderId="28" xfId="0" applyFont="1" applyFill="1" applyBorder="1" applyAlignment="1">
      <alignment horizontal="left" vertical="center" indent="1"/>
    </xf>
    <xf numFmtId="0" fontId="37" fillId="11" borderId="0" xfId="0" applyFont="1" applyFill="1" applyAlignment="1">
      <alignment horizontal="left" vertical="center" indent="1"/>
    </xf>
    <xf numFmtId="0" fontId="37" fillId="11" borderId="35" xfId="0" applyFont="1" applyFill="1" applyBorder="1" applyAlignment="1">
      <alignment horizontal="left" vertical="center" indent="1"/>
    </xf>
    <xf numFmtId="0" fontId="37" fillId="11" borderId="24" xfId="0" applyFont="1" applyFill="1" applyBorder="1" applyAlignment="1">
      <alignment vertical="center"/>
    </xf>
    <xf numFmtId="0" fontId="37" fillId="11" borderId="26" xfId="0" applyFont="1" applyFill="1" applyBorder="1" applyAlignment="1">
      <alignment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</cellXfs>
  <cellStyles count="748">
    <cellStyle name="Comma 2" xfId="348"/>
    <cellStyle name="Currency" xfId="665" builtinId="4"/>
    <cellStyle name="Followed Hyperlink" xfId="337" builtinId="9" hidden="1"/>
    <cellStyle name="Followed Hyperlink" xfId="243" builtinId="9" hidden="1"/>
    <cellStyle name="Followed Hyperlink" xfId="506" builtinId="9" hidden="1"/>
    <cellStyle name="Followed Hyperlink" xfId="293" builtinId="9" hidden="1"/>
    <cellStyle name="Followed Hyperlink" xfId="231" builtinId="9" hidden="1"/>
    <cellStyle name="Followed Hyperlink" xfId="729" builtinId="9" hidden="1"/>
    <cellStyle name="Followed Hyperlink" xfId="727" builtinId="9" hidden="1"/>
    <cellStyle name="Followed Hyperlink" xfId="614" builtinId="9" hidden="1"/>
    <cellStyle name="Followed Hyperlink" xfId="211" builtinId="9" hidden="1"/>
    <cellStyle name="Followed Hyperlink" xfId="630" builtinId="9" hidden="1"/>
    <cellStyle name="Followed Hyperlink" xfId="362" builtinId="9" hidden="1"/>
    <cellStyle name="Followed Hyperlink" xfId="331" builtinId="9" hidden="1"/>
    <cellStyle name="Followed Hyperlink" xfId="59" builtinId="9" hidden="1"/>
    <cellStyle name="Followed Hyperlink" xfId="11" builtinId="9" hidden="1"/>
    <cellStyle name="Followed Hyperlink" xfId="626" builtinId="9" hidden="1"/>
    <cellStyle name="Followed Hyperlink" xfId="235" builtinId="9" hidden="1"/>
    <cellStyle name="Followed Hyperlink" xfId="303" builtinId="9" hidden="1"/>
    <cellStyle name="Followed Hyperlink" xfId="287" builtinId="9" hidden="1"/>
    <cellStyle name="Followed Hyperlink" xfId="333" builtinId="9" hidden="1"/>
    <cellStyle name="Followed Hyperlink" xfId="251" builtinId="9" hidden="1"/>
    <cellStyle name="Followed Hyperlink" xfId="307" builtinId="9" hidden="1"/>
    <cellStyle name="Followed Hyperlink" xfId="456" builtinId="9" hidden="1"/>
    <cellStyle name="Followed Hyperlink" xfId="313" builtinId="9" hidden="1"/>
    <cellStyle name="Followed Hyperlink" xfId="7" builtinId="9" hidden="1"/>
    <cellStyle name="Followed Hyperlink" xfId="39" builtinId="9" hidden="1"/>
    <cellStyle name="Followed Hyperlink" xfId="97" builtinId="9" hidden="1"/>
    <cellStyle name="Followed Hyperlink" xfId="356" builtinId="9" hidden="1"/>
    <cellStyle name="Followed Hyperlink" xfId="149" builtinId="9" hidden="1"/>
    <cellStyle name="Followed Hyperlink" xfId="225" builtinId="9" hidden="1"/>
    <cellStyle name="Followed Hyperlink" xfId="488" builtinId="9" hidden="1"/>
    <cellStyle name="Followed Hyperlink" xfId="540" builtinId="9" hidden="1"/>
    <cellStyle name="Followed Hyperlink" xfId="195" builtinId="9" hidden="1"/>
    <cellStyle name="Followed Hyperlink" xfId="406" builtinId="9" hidden="1"/>
    <cellStyle name="Followed Hyperlink" xfId="746" builtinId="9" hidden="1"/>
    <cellStyle name="Followed Hyperlink" xfId="744" builtinId="9" hidden="1"/>
    <cellStyle name="Followed Hyperlink" xfId="131" builtinId="9" hidden="1"/>
    <cellStyle name="Followed Hyperlink" xfId="554" builtinId="9" hidden="1"/>
    <cellStyle name="Followed Hyperlink" xfId="305" builtinId="9" hidden="1"/>
    <cellStyle name="Followed Hyperlink" xfId="416" builtinId="9" hidden="1"/>
    <cellStyle name="Followed Hyperlink" xfId="153" builtinId="9" hidden="1"/>
    <cellStyle name="Followed Hyperlink" xfId="654" builtinId="9" hidden="1"/>
    <cellStyle name="Followed Hyperlink" xfId="542" builtinId="9" hidden="1"/>
    <cellStyle name="Followed Hyperlink" xfId="530" builtinId="9" hidden="1"/>
    <cellStyle name="Followed Hyperlink" xfId="275" builtinId="9" hidden="1"/>
    <cellStyle name="Followed Hyperlink" xfId="17" builtinId="9" hidden="1"/>
    <cellStyle name="Followed Hyperlink" xfId="358" builtinId="9" hidden="1"/>
    <cellStyle name="Followed Hyperlink" xfId="15" builtinId="9" hidden="1"/>
    <cellStyle name="Followed Hyperlink" xfId="460" builtinId="9" hidden="1"/>
    <cellStyle name="Followed Hyperlink" xfId="197" builtinId="9" hidden="1"/>
    <cellStyle name="Followed Hyperlink" xfId="241" builtinId="9" hidden="1"/>
    <cellStyle name="Followed Hyperlink" xfId="490" builtinId="9" hidden="1"/>
    <cellStyle name="Followed Hyperlink" xfId="295" builtinId="9" hidden="1"/>
    <cellStyle name="Followed Hyperlink" xfId="165" builtinId="9" hidden="1"/>
    <cellStyle name="Followed Hyperlink" xfId="271" builtinId="9" hidden="1"/>
    <cellStyle name="Followed Hyperlink" xfId="705" builtinId="9" hidden="1"/>
    <cellStyle name="Followed Hyperlink" xfId="370" builtinId="9" hidden="1"/>
    <cellStyle name="Followed Hyperlink" xfId="732" builtinId="9" hidden="1"/>
    <cellStyle name="Followed Hyperlink" xfId="394" builtinId="9" hidden="1"/>
    <cellStyle name="Followed Hyperlink" xfId="183" builtinId="9" hidden="1"/>
    <cellStyle name="Followed Hyperlink" xfId="127" builtinId="9" hidden="1"/>
    <cellStyle name="Followed Hyperlink" xfId="87" builtinId="9" hidden="1"/>
    <cellStyle name="Followed Hyperlink" xfId="135" builtinId="9" hidden="1"/>
    <cellStyle name="Followed Hyperlink" xfId="173" builtinId="9" hidden="1"/>
    <cellStyle name="Followed Hyperlink" xfId="612" builtinId="9" hidden="1"/>
    <cellStyle name="Followed Hyperlink" xfId="538" builtinId="9" hidden="1"/>
    <cellStyle name="Followed Hyperlink" xfId="376" builtinId="9" hidden="1"/>
    <cellStyle name="Followed Hyperlink" xfId="675" builtinId="9" hidden="1"/>
    <cellStyle name="Followed Hyperlink" xfId="187" builtinId="9" hidden="1"/>
    <cellStyle name="Followed Hyperlink" xfId="642" builtinId="9" hidden="1"/>
    <cellStyle name="Followed Hyperlink" xfId="426" builtinId="9" hidden="1"/>
    <cellStyle name="Followed Hyperlink" xfId="736" builtinId="9" hidden="1"/>
    <cellStyle name="Followed Hyperlink" xfId="400" builtinId="9" hidden="1"/>
    <cellStyle name="Followed Hyperlink" xfId="570" builtinId="9" hidden="1"/>
    <cellStyle name="Followed Hyperlink" xfId="496" builtinId="9" hidden="1"/>
    <cellStyle name="Followed Hyperlink" xfId="683" builtinId="9" hidden="1"/>
    <cellStyle name="Followed Hyperlink" xfId="289" builtinId="9" hidden="1"/>
    <cellStyle name="Followed Hyperlink" xfId="516" builtinId="9" hidden="1"/>
    <cellStyle name="Followed Hyperlink" xfId="478" builtinId="9" hidden="1"/>
    <cellStyle name="Followed Hyperlink" xfId="695" builtinId="9" hidden="1"/>
    <cellStyle name="Followed Hyperlink" xfId="221" builtinId="9" hidden="1"/>
    <cellStyle name="Followed Hyperlink" xfId="79" builtinId="9" hidden="1"/>
    <cellStyle name="Followed Hyperlink" xfId="101" builtinId="9" hidden="1"/>
    <cellStyle name="Followed Hyperlink" xfId="143" builtinId="9" hidden="1"/>
    <cellStyle name="Followed Hyperlink" xfId="709" builtinId="9" hidden="1"/>
    <cellStyle name="Followed Hyperlink" xfId="259" builtinId="9" hidden="1"/>
    <cellStyle name="Followed Hyperlink" xfId="161" builtinId="9" hidden="1"/>
    <cellStyle name="Followed Hyperlink" xfId="717" builtinId="9" hidden="1"/>
    <cellStyle name="Followed Hyperlink" xfId="37" builtinId="9" hidden="1"/>
    <cellStyle name="Followed Hyperlink" xfId="366" builtinId="9" hidden="1"/>
    <cellStyle name="Followed Hyperlink" xfId="580" builtinId="9" hidden="1"/>
    <cellStyle name="Followed Hyperlink" xfId="518" builtinId="9" hidden="1"/>
    <cellStyle name="Followed Hyperlink" xfId="438" builtinId="9" hidden="1"/>
    <cellStyle name="Followed Hyperlink" xfId="452" builtinId="9" hidden="1"/>
    <cellStyle name="Followed Hyperlink" xfId="283" builtinId="9" hidden="1"/>
    <cellStyle name="Followed Hyperlink" xfId="345" builtinId="9" hidden="1"/>
    <cellStyle name="Followed Hyperlink" xfId="450" builtinId="9" hidden="1"/>
    <cellStyle name="Followed Hyperlink" xfId="458" builtinId="9" hidden="1"/>
    <cellStyle name="Followed Hyperlink" xfId="656" builtinId="9" hidden="1"/>
    <cellStyle name="Followed Hyperlink" xfId="616" builtinId="9" hidden="1"/>
    <cellStyle name="Followed Hyperlink" xfId="673" builtinId="9" hidden="1"/>
    <cellStyle name="Followed Hyperlink" xfId="3" builtinId="9" hidden="1"/>
    <cellStyle name="Followed Hyperlink" xfId="364" builtinId="9" hidden="1"/>
    <cellStyle name="Followed Hyperlink" xfId="5" builtinId="9" hidden="1"/>
    <cellStyle name="Followed Hyperlink" xfId="574" builtinId="9" hidden="1"/>
    <cellStyle name="Followed Hyperlink" xfId="327" builtinId="9" hidden="1"/>
    <cellStyle name="Followed Hyperlink" xfId="606" builtinId="9" hidden="1"/>
    <cellStyle name="Followed Hyperlink" xfId="317" builtinId="9" hidden="1"/>
    <cellStyle name="Followed Hyperlink" xfId="584" builtinId="9" hidden="1"/>
    <cellStyle name="Followed Hyperlink" xfId="679" builtinId="9" hidden="1"/>
    <cellStyle name="Followed Hyperlink" xfId="719" builtinId="9" hidden="1"/>
    <cellStyle name="Followed Hyperlink" xfId="596" builtinId="9" hidden="1"/>
    <cellStyle name="Followed Hyperlink" xfId="129" builtinId="9" hidden="1"/>
    <cellStyle name="Followed Hyperlink" xfId="374" builtinId="9" hidden="1"/>
    <cellStyle name="Followed Hyperlink" xfId="558" builtinId="9" hidden="1"/>
    <cellStyle name="Followed Hyperlink" xfId="117" builtinId="9" hidden="1"/>
    <cellStyle name="Followed Hyperlink" xfId="480" builtinId="9" hidden="1"/>
    <cellStyle name="Followed Hyperlink" xfId="341" builtinId="9" hidden="1"/>
    <cellStyle name="Followed Hyperlink" xfId="420" builtinId="9" hidden="1"/>
    <cellStyle name="Followed Hyperlink" xfId="368" builtinId="9" hidden="1"/>
    <cellStyle name="Followed Hyperlink" xfId="410" builtinId="9" hidden="1"/>
    <cellStyle name="Followed Hyperlink" xfId="618" builtinId="9" hidden="1"/>
    <cellStyle name="Followed Hyperlink" xfId="562" builtinId="9" hidden="1"/>
    <cellStyle name="Followed Hyperlink" xfId="99" builtinId="9" hidden="1"/>
    <cellStyle name="Followed Hyperlink" xfId="315" builtinId="9" hidden="1"/>
    <cellStyle name="Followed Hyperlink" xfId="713" builtinId="9" hidden="1"/>
    <cellStyle name="Followed Hyperlink" xfId="604" builtinId="9" hidden="1"/>
    <cellStyle name="Followed Hyperlink" xfId="95" builtinId="9" hidden="1"/>
    <cellStyle name="Followed Hyperlink" xfId="738" builtinId="9" hidden="1"/>
    <cellStyle name="Followed Hyperlink" xfId="508" builtinId="9" hidden="1"/>
    <cellStyle name="Followed Hyperlink" xfId="91" builtinId="9" hidden="1"/>
    <cellStyle name="Followed Hyperlink" xfId="462" builtinId="9" hidden="1"/>
    <cellStyle name="Followed Hyperlink" xfId="590" builtinId="9" hidden="1"/>
    <cellStyle name="Followed Hyperlink" xfId="550" builtinId="9" hidden="1"/>
    <cellStyle name="Followed Hyperlink" xfId="578" builtinId="9" hidden="1"/>
    <cellStyle name="Followed Hyperlink" xfId="448" builtinId="9" hidden="1"/>
    <cellStyle name="Followed Hyperlink" xfId="159" builtinId="9" hidden="1"/>
    <cellStyle name="Followed Hyperlink" xfId="658" builtinId="9" hidden="1"/>
    <cellStyle name="Followed Hyperlink" xfId="502" builtinId="9" hidden="1"/>
    <cellStyle name="Followed Hyperlink" xfId="398" builtinId="9" hidden="1"/>
    <cellStyle name="Followed Hyperlink" xfId="297" builtinId="9" hidden="1"/>
    <cellStyle name="Followed Hyperlink" xfId="610" builtinId="9" hidden="1"/>
    <cellStyle name="Followed Hyperlink" xfId="199" builtinId="9" hidden="1"/>
    <cellStyle name="Followed Hyperlink" xfId="57" builtinId="9" hidden="1"/>
    <cellStyle name="Followed Hyperlink" xfId="229" builtinId="9" hidden="1"/>
    <cellStyle name="Followed Hyperlink" xfId="689" builtinId="9" hidden="1"/>
    <cellStyle name="Followed Hyperlink" xfId="49" builtinId="9" hidden="1"/>
    <cellStyle name="Followed Hyperlink" xfId="19" builtinId="9" hidden="1"/>
    <cellStyle name="Followed Hyperlink" xfId="418" builtinId="9" hidden="1"/>
    <cellStyle name="Followed Hyperlink" xfId="640" builtinId="9" hidden="1"/>
    <cellStyle name="Followed Hyperlink" xfId="594" builtinId="9" hidden="1"/>
    <cellStyle name="Followed Hyperlink" xfId="434" builtinId="9" hidden="1"/>
    <cellStyle name="Followed Hyperlink" xfId="137" builtinId="9" hidden="1"/>
    <cellStyle name="Followed Hyperlink" xfId="319" builtinId="9" hidden="1"/>
    <cellStyle name="Followed Hyperlink" xfId="671" builtinId="9" hidden="1"/>
    <cellStyle name="Followed Hyperlink" xfId="239" builtinId="9" hidden="1"/>
    <cellStyle name="Followed Hyperlink" xfId="652" builtinId="9" hidden="1"/>
    <cellStyle name="Followed Hyperlink" xfId="335" builtinId="9" hidden="1"/>
    <cellStyle name="Followed Hyperlink" xfId="446" builtinId="9" hidden="1"/>
    <cellStyle name="Followed Hyperlink" xfId="414" builtinId="9" hidden="1"/>
    <cellStyle name="Followed Hyperlink" xfId="711" builtinId="9" hidden="1"/>
    <cellStyle name="Followed Hyperlink" xfId="201" builtinId="9" hidden="1"/>
    <cellStyle name="Followed Hyperlink" xfId="209" builtinId="9" hidden="1"/>
    <cellStyle name="Followed Hyperlink" xfId="352" builtinId="9" hidden="1"/>
    <cellStyle name="Followed Hyperlink" xfId="548" builtinId="9" hidden="1"/>
    <cellStyle name="Followed Hyperlink" xfId="677" builtinId="9" hidden="1"/>
    <cellStyle name="Followed Hyperlink" xfId="41" builtinId="9" hidden="1"/>
    <cellStyle name="Followed Hyperlink" xfId="77" builtinId="9" hidden="1"/>
    <cellStyle name="Followed Hyperlink" xfId="669" builtinId="9" hidden="1"/>
    <cellStyle name="Followed Hyperlink" xfId="442" builtinId="9" hidden="1"/>
    <cellStyle name="Followed Hyperlink" xfId="249" builtinId="9" hidden="1"/>
    <cellStyle name="Followed Hyperlink" xfId="141" builtinId="9" hidden="1"/>
    <cellStyle name="Followed Hyperlink" xfId="572" builtinId="9" hidden="1"/>
    <cellStyle name="Followed Hyperlink" xfId="576" builtinId="9" hidden="1"/>
    <cellStyle name="Followed Hyperlink" xfId="9" builtinId="9" hidden="1"/>
    <cellStyle name="Followed Hyperlink" xfId="23" builtinId="9" hidden="1"/>
    <cellStyle name="Followed Hyperlink" xfId="382" builtinId="9" hidden="1"/>
    <cellStyle name="Followed Hyperlink" xfId="628" builtinId="9" hidden="1"/>
    <cellStyle name="Followed Hyperlink" xfId="492" builtinId="9" hidden="1"/>
    <cellStyle name="Followed Hyperlink" xfId="285" builtinId="9" hidden="1"/>
    <cellStyle name="Followed Hyperlink" xfId="311" builtinId="9" hidden="1"/>
    <cellStyle name="Followed Hyperlink" xfId="436" builtinId="9" hidden="1"/>
    <cellStyle name="Followed Hyperlink" xfId="667" builtinId="9" hidden="1"/>
    <cellStyle name="Followed Hyperlink" xfId="27" builtinId="9" hidden="1"/>
    <cellStyle name="Followed Hyperlink" xfId="107" builtinId="9" hidden="1"/>
    <cellStyle name="Followed Hyperlink" xfId="646" builtinId="9" hidden="1"/>
    <cellStyle name="Followed Hyperlink" xfId="687" builtinId="9" hidden="1"/>
    <cellStyle name="Followed Hyperlink" xfId="396" builtinId="9" hidden="1"/>
    <cellStyle name="Followed Hyperlink" xfId="660" builtinId="9" hidden="1"/>
    <cellStyle name="Followed Hyperlink" xfId="472" builtinId="9" hidden="1"/>
    <cellStyle name="Followed Hyperlink" xfId="25" builtinId="9" hidden="1"/>
    <cellStyle name="Followed Hyperlink" xfId="43" builtinId="9" hidden="1"/>
    <cellStyle name="Followed Hyperlink" xfId="685" builtinId="9" hidden="1"/>
    <cellStyle name="Followed Hyperlink" xfId="510" builtinId="9" hidden="1"/>
    <cellStyle name="Followed Hyperlink" xfId="715" builtinId="9" hidden="1"/>
    <cellStyle name="Followed Hyperlink" xfId="223" builtinId="9" hidden="1"/>
    <cellStyle name="Followed Hyperlink" xfId="430" builtinId="9" hidden="1"/>
    <cellStyle name="Followed Hyperlink" xfId="267" builtinId="9" hidden="1"/>
    <cellStyle name="Followed Hyperlink" xfId="534" builtinId="9" hidden="1"/>
    <cellStyle name="Followed Hyperlink" xfId="354" builtinId="9" hidden="1"/>
    <cellStyle name="Followed Hyperlink" xfId="620" builtinId="9" hidden="1"/>
    <cellStyle name="Followed Hyperlink" xfId="63" builtinId="9" hidden="1"/>
    <cellStyle name="Followed Hyperlink" xfId="155" builtinId="9" hidden="1"/>
    <cellStyle name="Followed Hyperlink" xfId="586" builtinId="9" hidden="1"/>
    <cellStyle name="Followed Hyperlink" xfId="177" builtinId="9" hidden="1"/>
    <cellStyle name="Followed Hyperlink" xfId="390" builtinId="9" hidden="1"/>
    <cellStyle name="Followed Hyperlink" xfId="203" builtinId="9" hidden="1"/>
    <cellStyle name="Followed Hyperlink" xfId="53" builtinId="9" hidden="1"/>
    <cellStyle name="Followed Hyperlink" xfId="650" builtinId="9" hidden="1"/>
    <cellStyle name="Followed Hyperlink" xfId="139" builtinId="9" hidden="1"/>
    <cellStyle name="Followed Hyperlink" xfId="582" builtinId="9" hidden="1"/>
    <cellStyle name="Followed Hyperlink" xfId="697" builtinId="9" hidden="1"/>
    <cellStyle name="Followed Hyperlink" xfId="432" builtinId="9" hidden="1"/>
    <cellStyle name="Followed Hyperlink" xfId="265" builtinId="9" hidden="1"/>
    <cellStyle name="Followed Hyperlink" xfId="55" builtinId="9" hidden="1"/>
    <cellStyle name="Followed Hyperlink" xfId="392" builtinId="9" hidden="1"/>
    <cellStyle name="Followed Hyperlink" xfId="520" builtinId="9" hidden="1"/>
    <cellStyle name="Followed Hyperlink" xfId="552" builtinId="9" hidden="1"/>
    <cellStyle name="Followed Hyperlink" xfId="494" builtinId="9" hidden="1"/>
    <cellStyle name="Followed Hyperlink" xfId="524" builtinId="9" hidden="1"/>
    <cellStyle name="Followed Hyperlink" xfId="500" builtinId="9" hidden="1"/>
    <cellStyle name="Followed Hyperlink" xfId="634" builtinId="9" hidden="1"/>
    <cellStyle name="Followed Hyperlink" xfId="29" builtinId="9" hidden="1"/>
    <cellStyle name="Followed Hyperlink" xfId="734" builtinId="9" hidden="1"/>
    <cellStyle name="Followed Hyperlink" xfId="522" builtinId="9" hidden="1"/>
    <cellStyle name="Followed Hyperlink" xfId="528" builtinId="9" hidden="1"/>
    <cellStyle name="Followed Hyperlink" xfId="622" builtinId="9" hidden="1"/>
    <cellStyle name="Followed Hyperlink" xfId="512" builtinId="9" hidden="1"/>
    <cellStyle name="Followed Hyperlink" xfId="402" builtinId="9" hidden="1"/>
    <cellStyle name="Followed Hyperlink" xfId="113" builtinId="9" hidden="1"/>
    <cellStyle name="Followed Hyperlink" xfId="215" builtinId="9" hidden="1"/>
    <cellStyle name="Followed Hyperlink" xfId="193" builtinId="9" hidden="1"/>
    <cellStyle name="Followed Hyperlink" xfId="482" builtinId="9" hidden="1"/>
    <cellStyle name="Followed Hyperlink" xfId="81" builtinId="9" hidden="1"/>
    <cellStyle name="Followed Hyperlink" xfId="51" builtinId="9" hidden="1"/>
    <cellStyle name="Followed Hyperlink" xfId="71" builtinId="9" hidden="1"/>
    <cellStyle name="Followed Hyperlink" xfId="476" builtinId="9" hidden="1"/>
    <cellStyle name="Followed Hyperlink" xfId="701" builtinId="9" hidden="1"/>
    <cellStyle name="Followed Hyperlink" xfId="207" builtinId="9" hidden="1"/>
    <cellStyle name="Followed Hyperlink" xfId="75" builtinId="9" hidden="1"/>
    <cellStyle name="Followed Hyperlink" xfId="167" builtinId="9" hidden="1"/>
    <cellStyle name="Followed Hyperlink" xfId="277" builtinId="9" hidden="1"/>
    <cellStyle name="Followed Hyperlink" xfId="227" builtinId="9" hidden="1"/>
    <cellStyle name="Followed Hyperlink" xfId="723" builtinId="9" hidden="1"/>
    <cellStyle name="Followed Hyperlink" xfId="464" builtinId="9" hidden="1"/>
    <cellStyle name="Followed Hyperlink" xfId="213" builtinId="9" hidden="1"/>
    <cellStyle name="Followed Hyperlink" xfId="454" builtinId="9" hidden="1"/>
    <cellStyle name="Followed Hyperlink" xfId="703" builtinId="9" hidden="1"/>
    <cellStyle name="Followed Hyperlink" xfId="498" builtinId="9" hidden="1"/>
    <cellStyle name="Followed Hyperlink" xfId="257" builtinId="9" hidden="1"/>
    <cellStyle name="Followed Hyperlink" xfId="291" builtinId="9" hidden="1"/>
    <cellStyle name="Followed Hyperlink" xfId="69" builtinId="9" hidden="1"/>
    <cellStyle name="Followed Hyperlink" xfId="624" builtinId="9" hidden="1"/>
    <cellStyle name="Followed Hyperlink" xfId="45" builtinId="9" hidden="1"/>
    <cellStyle name="Followed Hyperlink" xfId="404" builtinId="9" hidden="1"/>
    <cellStyle name="Followed Hyperlink" xfId="233" builtinId="9" hidden="1"/>
    <cellStyle name="Followed Hyperlink" xfId="181" builtinId="9" hidden="1"/>
    <cellStyle name="Followed Hyperlink" xfId="323" builtinId="9" hidden="1"/>
    <cellStyle name="Followed Hyperlink" xfId="372" builtinId="9" hidden="1"/>
    <cellStyle name="Followed Hyperlink" xfId="681" builtinId="9" hidden="1"/>
    <cellStyle name="Followed Hyperlink" xfId="384" builtinId="9" hidden="1"/>
    <cellStyle name="Followed Hyperlink" xfId="309" builtinId="9" hidden="1"/>
    <cellStyle name="Followed Hyperlink" xfId="21" builtinId="9" hidden="1"/>
    <cellStyle name="Followed Hyperlink" xfId="299" builtinId="9" hidden="1"/>
    <cellStyle name="Followed Hyperlink" xfId="123" builtinId="9" hidden="1"/>
    <cellStyle name="Followed Hyperlink" xfId="468" builtinId="9" hidden="1"/>
    <cellStyle name="Followed Hyperlink" xfId="157" builtinId="9" hidden="1"/>
    <cellStyle name="Followed Hyperlink" xfId="742" builtinId="9" hidden="1"/>
    <cellStyle name="Followed Hyperlink" xfId="428" builtinId="9" hidden="1"/>
    <cellStyle name="Followed Hyperlink" xfId="588" builtinId="9" hidden="1"/>
    <cellStyle name="Followed Hyperlink" xfId="380" builtinId="9" hidden="1"/>
    <cellStyle name="Followed Hyperlink" xfId="693" builtinId="9" hidden="1"/>
    <cellStyle name="Followed Hyperlink" xfId="440" builtinId="9" hidden="1"/>
    <cellStyle name="Followed Hyperlink" xfId="608" builtinId="9" hidden="1"/>
    <cellStyle name="Followed Hyperlink" xfId="321" builtinId="9" hidden="1"/>
    <cellStyle name="Followed Hyperlink" xfId="189" builtinId="9" hidden="1"/>
    <cellStyle name="Followed Hyperlink" xfId="388" builtinId="9" hidden="1"/>
    <cellStyle name="Followed Hyperlink" xfId="301" builtinId="9" hidden="1"/>
    <cellStyle name="Followed Hyperlink" xfId="644" builtinId="9" hidden="1"/>
    <cellStyle name="Followed Hyperlink" xfId="263" builtinId="9" hidden="1"/>
    <cellStyle name="Followed Hyperlink" xfId="175" builtinId="9" hidden="1"/>
    <cellStyle name="Followed Hyperlink" xfId="699" builtinId="9" hidden="1"/>
    <cellStyle name="Followed Hyperlink" xfId="598" builtinId="9" hidden="1"/>
    <cellStyle name="Followed Hyperlink" xfId="67" builtinId="9" hidden="1"/>
    <cellStyle name="Followed Hyperlink" xfId="564" builtinId="9" hidden="1"/>
    <cellStyle name="Followed Hyperlink" xfId="217" builtinId="9" hidden="1"/>
    <cellStyle name="Followed Hyperlink" xfId="47" builtinId="9" hidden="1"/>
    <cellStyle name="Followed Hyperlink" xfId="255" builtinId="9" hidden="1"/>
    <cellStyle name="Followed Hyperlink" xfId="261" builtinId="9" hidden="1"/>
    <cellStyle name="Followed Hyperlink" xfId="13" builtinId="9" hidden="1"/>
    <cellStyle name="Followed Hyperlink" xfId="343" builtinId="9" hidden="1"/>
    <cellStyle name="Followed Hyperlink" xfId="412" builtinId="9" hidden="1"/>
    <cellStyle name="Followed Hyperlink" xfId="125" builtinId="9" hidden="1"/>
    <cellStyle name="Followed Hyperlink" xfId="247" builtinId="9" hidden="1"/>
    <cellStyle name="Followed Hyperlink" xfId="171" builtinId="9" hidden="1"/>
    <cellStyle name="Followed Hyperlink" xfId="504" builtinId="9" hidden="1"/>
    <cellStyle name="Followed Hyperlink" xfId="474" builtinId="9" hidden="1"/>
    <cellStyle name="Followed Hyperlink" xfId="245" builtinId="9" hidden="1"/>
    <cellStyle name="Followed Hyperlink" xfId="648" builtinId="9" hidden="1"/>
    <cellStyle name="Followed Hyperlink" xfId="325" builtinId="9" hidden="1"/>
    <cellStyle name="Followed Hyperlink" xfId="422" builtinId="9" hidden="1"/>
    <cellStyle name="Followed Hyperlink" xfId="269" builtinId="9" hidden="1"/>
    <cellStyle name="Followed Hyperlink" xfId="253" builtinId="9" hidden="1"/>
    <cellStyle name="Followed Hyperlink" xfId="532" builtinId="9" hidden="1"/>
    <cellStyle name="Followed Hyperlink" xfId="378" builtinId="9" hidden="1"/>
    <cellStyle name="Followed Hyperlink" xfId="386" builtinId="9" hidden="1"/>
    <cellStyle name="Followed Hyperlink" xfId="191" builtinId="9" hidden="1"/>
    <cellStyle name="Followed Hyperlink" xfId="109" builtinId="9" hidden="1"/>
    <cellStyle name="Followed Hyperlink" xfId="185" builtinId="9" hidden="1"/>
    <cellStyle name="Followed Hyperlink" xfId="424" builtinId="9" hidden="1"/>
    <cellStyle name="Followed Hyperlink" xfId="721" builtinId="9" hidden="1"/>
    <cellStyle name="Followed Hyperlink" xfId="632" builtinId="9" hidden="1"/>
    <cellStyle name="Followed Hyperlink" xfId="360" builtinId="9" hidden="1"/>
    <cellStyle name="Followed Hyperlink" xfId="662" builtinId="9" hidden="1"/>
    <cellStyle name="Followed Hyperlink" xfId="602" builtinId="9" hidden="1"/>
    <cellStyle name="Followed Hyperlink" xfId="205" builtinId="9" hidden="1"/>
    <cellStyle name="Followed Hyperlink" xfId="568" builtinId="9" hidden="1"/>
    <cellStyle name="Followed Hyperlink" xfId="466" builtinId="9" hidden="1"/>
    <cellStyle name="Followed Hyperlink" xfId="514" builtinId="9" hidden="1"/>
    <cellStyle name="Followed Hyperlink" xfId="179" builtinId="9" hidden="1"/>
    <cellStyle name="Followed Hyperlink" xfId="61" builtinId="9" hidden="1"/>
    <cellStyle name="Followed Hyperlink" xfId="526" builtinId="9" hidden="1"/>
    <cellStyle name="Followed Hyperlink" xfId="408" builtinId="9" hidden="1"/>
    <cellStyle name="Followed Hyperlink" xfId="35" builtinId="9" hidden="1"/>
    <cellStyle name="Followed Hyperlink" xfId="31" builtinId="9" hidden="1"/>
    <cellStyle name="Followed Hyperlink" xfId="163" builtinId="9" hidden="1"/>
    <cellStyle name="Followed Hyperlink" xfId="151" builtinId="9" hidden="1"/>
    <cellStyle name="Followed Hyperlink" xfId="103" builtinId="9" hidden="1"/>
    <cellStyle name="Followed Hyperlink" xfId="115" builtinId="9" hidden="1"/>
    <cellStyle name="Followed Hyperlink" xfId="592" builtinId="9" hidden="1"/>
    <cellStyle name="Followed Hyperlink" xfId="484" builtinId="9" hidden="1"/>
    <cellStyle name="Followed Hyperlink" xfId="145" builtinId="9" hidden="1"/>
    <cellStyle name="Followed Hyperlink" xfId="105" builtinId="9" hidden="1"/>
    <cellStyle name="Followed Hyperlink" xfId="237" builtinId="9" hidden="1"/>
    <cellStyle name="Followed Hyperlink" xfId="636" builtinId="9" hidden="1"/>
    <cellStyle name="Followed Hyperlink" xfId="560" builtinId="9" hidden="1"/>
    <cellStyle name="Followed Hyperlink" xfId="33" builtinId="9" hidden="1"/>
    <cellStyle name="Followed Hyperlink" xfId="339" builtinId="9" hidden="1"/>
    <cellStyle name="Followed Hyperlink" xfId="133" builtinId="9" hidden="1"/>
    <cellStyle name="Followed Hyperlink" xfId="707" builtinId="9" hidden="1"/>
    <cellStyle name="Followed Hyperlink" xfId="279" builtinId="9" hidden="1"/>
    <cellStyle name="Followed Hyperlink" xfId="85" builtinId="9" hidden="1"/>
    <cellStyle name="Followed Hyperlink" xfId="119" builtinId="9" hidden="1"/>
    <cellStyle name="Followed Hyperlink" xfId="546" builtinId="9" hidden="1"/>
    <cellStyle name="Followed Hyperlink" xfId="93" builtinId="9" hidden="1"/>
    <cellStyle name="Followed Hyperlink" xfId="121" builtinId="9" hidden="1"/>
    <cellStyle name="Followed Hyperlink" xfId="556" builtinId="9" hidden="1"/>
    <cellStyle name="Followed Hyperlink" xfId="740" builtinId="9" hidden="1"/>
    <cellStyle name="Followed Hyperlink" xfId="691" builtinId="9" hidden="1"/>
    <cellStyle name="Followed Hyperlink" xfId="536" builtinId="9" hidden="1"/>
    <cellStyle name="Followed Hyperlink" xfId="638" builtinId="9" hidden="1"/>
    <cellStyle name="Followed Hyperlink" xfId="600" builtinId="9" hidden="1"/>
    <cellStyle name="Followed Hyperlink" xfId="444" builtinId="9" hidden="1"/>
    <cellStyle name="Followed Hyperlink" xfId="65" builtinId="9" hidden="1"/>
    <cellStyle name="Followed Hyperlink" xfId="169" builtinId="9" hidden="1"/>
    <cellStyle name="Followed Hyperlink" xfId="470" builtinId="9" hidden="1"/>
    <cellStyle name="Followed Hyperlink" xfId="664" builtinId="9" hidden="1"/>
    <cellStyle name="Followed Hyperlink" xfId="486" builtinId="9" hidden="1"/>
    <cellStyle name="Followed Hyperlink" xfId="111" builtinId="9" hidden="1"/>
    <cellStyle name="Followed Hyperlink" xfId="725" builtinId="9" hidden="1"/>
    <cellStyle name="Followed Hyperlink" xfId="83" builtinId="9" hidden="1"/>
    <cellStyle name="Followed Hyperlink" xfId="329" builtinId="9" hidden="1"/>
    <cellStyle name="Followed Hyperlink" xfId="273" builtinId="9" hidden="1"/>
    <cellStyle name="Followed Hyperlink" xfId="73" builtinId="9" hidden="1"/>
    <cellStyle name="Followed Hyperlink" xfId="281" builtinId="9" hidden="1"/>
    <cellStyle name="Followed Hyperlink" xfId="147" builtinId="9" hidden="1"/>
    <cellStyle name="Followed Hyperlink" xfId="350" builtinId="9" hidden="1"/>
    <cellStyle name="Followed Hyperlink" xfId="219" builtinId="9" hidden="1"/>
    <cellStyle name="Followed Hyperlink" xfId="566" builtinId="9" hidden="1"/>
    <cellStyle name="Followed Hyperlink" xfId="89" builtinId="9" hidden="1"/>
    <cellStyle name="Followed Hyperlink" xfId="544" builtinId="9" hidden="1"/>
    <cellStyle name="Hyperlink" xfId="557" builtinId="8" hidden="1"/>
    <cellStyle name="Hyperlink" xfId="320" builtinId="8" hidden="1"/>
    <cellStyle name="Hyperlink" xfId="156" builtinId="8" hidden="1"/>
    <cellStyle name="Hyperlink" xfId="523" builtinId="8" hidden="1"/>
    <cellStyle name="Hyperlink" xfId="399" builtinId="8" hidden="1"/>
    <cellStyle name="Hyperlink" xfId="40" builtinId="8" hidden="1"/>
    <cellStyle name="Hyperlink" xfId="545" builtinId="8" hidden="1"/>
    <cellStyle name="Hyperlink" xfId="629" builtinId="8" hidden="1"/>
    <cellStyle name="Hyperlink" xfId="8" builtinId="8" hidden="1"/>
    <cellStyle name="Hyperlink" xfId="453" builtinId="8" hidden="1"/>
    <cellStyle name="Hyperlink" xfId="172" builtinId="8" hidden="1"/>
    <cellStyle name="Hyperlink" xfId="357" builtinId="8" hidden="1"/>
    <cellStyle name="Hyperlink" xfId="575" builtinId="8" hidden="1"/>
    <cellStyle name="Hyperlink" xfId="142" builtinId="8" hidden="1"/>
    <cellStyle name="Hyperlink" xfId="513" builtinId="8" hidden="1"/>
    <cellStyle name="Hyperlink" xfId="188" builtinId="8" hidden="1"/>
    <cellStyle name="Hyperlink" xfId="150" builtinId="8" hidden="1"/>
    <cellStyle name="Hyperlink" xfId="435" builtinId="8" hidden="1"/>
    <cellStyle name="Hyperlink" xfId="276" builtinId="8" hidden="1"/>
    <cellStyle name="Hyperlink" xfId="573" builtinId="8" hidden="1"/>
    <cellStyle name="Hyperlink" xfId="369" builtinId="8" hidden="1"/>
    <cellStyle name="Hyperlink" xfId="429" builtinId="8" hidden="1"/>
    <cellStyle name="Hyperlink" xfId="246" builtinId="8" hidden="1"/>
    <cellStyle name="Hyperlink" xfId="54" builtinId="8" hidden="1"/>
    <cellStyle name="Hyperlink" xfId="419" builtinId="8" hidden="1"/>
    <cellStyle name="Hyperlink" xfId="663" builtinId="8" hidden="1"/>
    <cellStyle name="Hyperlink" xfId="194" builtinId="8" hidden="1"/>
    <cellStyle name="Hyperlink" xfId="68" builtinId="8" hidden="1"/>
    <cellStyle name="Hyperlink" xfId="82" builtinId="8" hidden="1"/>
    <cellStyle name="Hyperlink" xfId="210" builtinId="8" hidden="1"/>
    <cellStyle name="Hyperlink" xfId="627" builtinId="8" hidden="1"/>
    <cellStyle name="Hyperlink" xfId="204" builtinId="8" hidden="1"/>
    <cellStyle name="Hyperlink" xfId="457" builtinId="8" hidden="1"/>
    <cellStyle name="Hyperlink" xfId="218" builtinId="8" hidden="1"/>
    <cellStyle name="Hyperlink" xfId="262" builtinId="8" hidden="1"/>
    <cellStyle name="Hyperlink" xfId="322" builtinId="8" hidden="1"/>
    <cellStyle name="Hyperlink" xfId="32" builtinId="8" hidden="1"/>
    <cellStyle name="Hyperlink" xfId="676" builtinId="8" hidden="1"/>
    <cellStyle name="Hyperlink" xfId="449" builtinId="8" hidden="1"/>
    <cellStyle name="Hyperlink" xfId="160" builtinId="8" hidden="1"/>
    <cellStyle name="Hyperlink" xfId="615" builtinId="8" hidden="1"/>
    <cellStyle name="Hyperlink" xfId="511" builtinId="8" hidden="1"/>
    <cellStyle name="Hyperlink" xfId="577" builtinId="8" hidden="1"/>
    <cellStyle name="Hyperlink" xfId="46" builtinId="8" hidden="1"/>
    <cellStyle name="Hyperlink" xfId="196" builtinId="8" hidden="1"/>
    <cellStyle name="Hyperlink" xfId="14" builtinId="8" hidden="1"/>
    <cellStyle name="Hyperlink" xfId="743" builtinId="8" hidden="1"/>
    <cellStyle name="Hyperlink" xfId="739" builtinId="8" hidden="1"/>
    <cellStyle name="Hyperlink" xfId="80" builtinId="8" hidden="1"/>
    <cellStyle name="Hyperlink" xfId="30" builtinId="8" hidden="1"/>
    <cellStyle name="Hyperlink" xfId="4" builtinId="8" hidden="1"/>
    <cellStyle name="Hyperlink" xfId="24" builtinId="8" hidden="1"/>
    <cellStyle name="Hyperlink" xfId="481" builtinId="8" hidden="1"/>
    <cellStyle name="Hyperlink" xfId="461" builtinId="8" hidden="1"/>
    <cellStyle name="Hyperlink" xfId="328" builtinId="8" hidden="1"/>
    <cellStyle name="Hyperlink" xfId="286" builtinId="8" hidden="1"/>
    <cellStyle name="Hyperlink" xfId="248" builtinId="8" hidden="1"/>
    <cellStyle name="Hyperlink" xfId="272" builtinId="8" hidden="1"/>
    <cellStyle name="Hyperlink" xfId="517" builtinId="8" hidden="1"/>
    <cellStyle name="Hyperlink" xfId="421" builtinId="8" hidden="1"/>
    <cellStyle name="Hyperlink" xfId="477" builtinId="8" hidden="1"/>
    <cellStyle name="Hyperlink" xfId="507" builtinId="8" hidden="1"/>
    <cellStyle name="Hyperlink" xfId="338" builtinId="8" hidden="1"/>
    <cellStyle name="Hyperlink" xfId="146" builtinId="8" hidden="1"/>
    <cellStyle name="Hyperlink" xfId="240" builtinId="8" hidden="1"/>
    <cellStyle name="Hyperlink" xfId="242" builtinId="8" hidden="1"/>
    <cellStyle name="Hyperlink" xfId="34" builtinId="8" hidden="1"/>
    <cellStyle name="Hyperlink" xfId="405" builtinId="8" hidden="1"/>
    <cellStyle name="Hyperlink" xfId="463" builtinId="8" hidden="1"/>
    <cellStyle name="Hyperlink" xfId="411" builtinId="8" hidden="1"/>
    <cellStyle name="Hyperlink" xfId="427" builtinId="8" hidden="1"/>
    <cellStyle name="Hyperlink" xfId="383" builtinId="8" hidden="1"/>
    <cellStyle name="Hyperlink" xfId="377" builtinId="8" hidden="1"/>
    <cellStyle name="Hyperlink" xfId="529" builtinId="8" hidden="1"/>
    <cellStyle name="Hyperlink" xfId="680" builtinId="8" hidden="1"/>
    <cellStyle name="Hyperlink" xfId="503" builtinId="8" hidden="1"/>
    <cellStyle name="Hyperlink" xfId="166" builtinId="8" hidden="1"/>
    <cellStyle name="Hyperlink" xfId="228" builtinId="8" hidden="1"/>
    <cellStyle name="Hyperlink" xfId="230" builtinId="8" hidden="1"/>
    <cellStyle name="Hyperlink" xfId="670" builtinId="8" hidden="1"/>
    <cellStyle name="Hyperlink" xfId="112" builtinId="8" hidden="1"/>
    <cellStyle name="Hyperlink" xfId="684" builtinId="8" hidden="1"/>
    <cellStyle name="Hyperlink" xfId="690" builtinId="8" hidden="1"/>
    <cellStyle name="Hyperlink" xfId="535" builtinId="8" hidden="1"/>
    <cellStyle name="Hyperlink" xfId="72" builtinId="8" hidden="1"/>
    <cellStyle name="Hyperlink" xfId="180" builtinId="8" hidden="1"/>
    <cellStyle name="Hyperlink" xfId="222" builtinId="8" hidden="1"/>
    <cellStyle name="Hyperlink" xfId="18" builtinId="8" hidden="1"/>
    <cellStyle name="Hyperlink" xfId="26" builtinId="8" hidden="1"/>
    <cellStyle name="Hyperlink" xfId="28" builtinId="8" hidden="1"/>
    <cellStyle name="Hyperlink" xfId="439" builtinId="8" hidden="1"/>
    <cellStyle name="Hyperlink" xfId="216" builtinId="8" hidden="1"/>
    <cellStyle name="Hyperlink" xfId="336" builtinId="8" hidden="1"/>
    <cellStyle name="Hyperlink" xfId="342" builtinId="8" hidden="1"/>
    <cellStyle name="Hyperlink" xfId="433" builtinId="8" hidden="1"/>
    <cellStyle name="Hyperlink" xfId="401" builtinId="8" hidden="1"/>
    <cellStyle name="Hyperlink" xfId="712" builtinId="8" hidden="1"/>
    <cellStyle name="Hyperlink" xfId="666" builtinId="8" hidden="1"/>
    <cellStyle name="Hyperlink" xfId="66" builtinId="8" hidden="1"/>
    <cellStyle name="Hyperlink" xfId="467" builtinId="8" hidden="1"/>
    <cellStyle name="Hyperlink" xfId="495" builtinId="8" hidden="1"/>
    <cellStyle name="Hyperlink" xfId="106" builtinId="8" hidden="1"/>
    <cellStyle name="Hyperlink" xfId="549" builtinId="8" hidden="1"/>
    <cellStyle name="Hyperlink" xfId="659" builtinId="8" hidden="1"/>
    <cellStyle name="Hyperlink" xfId="393" builtinId="8" hidden="1"/>
    <cellStyle name="Hyperlink" xfId="254" builtinId="8" hidden="1"/>
    <cellStyle name="Hyperlink" xfId="236" builtinId="8" hidden="1"/>
    <cellStyle name="Hyperlink" xfId="649" builtinId="8" hidden="1"/>
    <cellStyle name="Hyperlink" xfId="250" builtinId="8" hidden="1"/>
    <cellStyle name="Hyperlink" xfId="138" builtinId="8" hidden="1"/>
    <cellStyle name="Hyperlink" xfId="379" builtinId="8" hidden="1"/>
    <cellStyle name="Hyperlink" xfId="268" builtinId="8" hidden="1"/>
    <cellStyle name="Hyperlink" xfId="451" builtinId="8" hidden="1"/>
    <cellStyle name="Hyperlink" xfId="324" builtinId="8" hidden="1"/>
    <cellStyle name="Hyperlink" xfId="74" builtinId="8" hidden="1"/>
    <cellStyle name="Hyperlink" xfId="60" builtinId="8" hidden="1"/>
    <cellStyle name="Hyperlink" xfId="90" builtinId="8" hidden="1"/>
    <cellStyle name="Hyperlink" xfId="668" builtinId="8" hidden="1"/>
    <cellStyle name="Hyperlink" xfId="728" builtinId="8" hidden="1"/>
    <cellStyle name="Hyperlink" xfId="44" builtinId="8" hidden="1"/>
    <cellStyle name="Hyperlink" xfId="672" builtinId="8" hidden="1"/>
    <cellStyle name="Hyperlink" xfId="531" builtinId="8" hidden="1"/>
    <cellStyle name="Hyperlink" xfId="745" builtinId="8" hidden="1"/>
    <cellStyle name="Hyperlink" xfId="583" builtinId="8" hidden="1"/>
    <cellStyle name="Hyperlink" xfId="403" builtinId="8" hidden="1"/>
    <cellStyle name="Hyperlink" xfId="611" builtinId="8" hidden="1"/>
    <cellStyle name="Hyperlink" xfId="16" builtinId="8" hidden="1"/>
    <cellStyle name="Hyperlink" xfId="302" builtinId="8" hidden="1"/>
    <cellStyle name="Hyperlink" xfId="716" builtinId="8" hidden="1"/>
    <cellStyle name="Hyperlink" xfId="409" builtinId="8" hidden="1"/>
    <cellStyle name="Hyperlink" xfId="674" builtinId="8" hidden="1"/>
    <cellStyle name="Hyperlink" xfId="521" builtinId="8" hidden="1"/>
    <cellStyle name="Hyperlink" xfId="274" builtinId="8" hidden="1"/>
    <cellStyle name="Hyperlink" xfId="208" builtinId="8" hidden="1"/>
    <cellStyle name="Hyperlink" xfId="601" builtinId="8" hidden="1"/>
    <cellStyle name="Hyperlink" xfId="256" builtinId="8" hidden="1"/>
    <cellStyle name="Hyperlink" xfId="214" builtinId="8" hidden="1"/>
    <cellStyle name="Hyperlink" xfId="391" builtinId="8" hidden="1"/>
    <cellStyle name="Hyperlink" xfId="702" builtinId="8" hidden="1"/>
    <cellStyle name="Hyperlink" xfId="483" builtinId="8" hidden="1"/>
    <cellStyle name="Hyperlink" xfId="176" builtinId="8" hidden="1"/>
    <cellStyle name="Hyperlink" xfId="84" builtinId="8" hidden="1"/>
    <cellStyle name="Hyperlink" xfId="567" builtinId="8" hidden="1"/>
    <cellStyle name="Hyperlink" xfId="326" builtinId="8" hidden="1"/>
    <cellStyle name="Hyperlink" xfId="200" builtinId="8" hidden="1"/>
    <cellStyle name="Hyperlink" xfId="58" builtinId="8" hidden="1"/>
    <cellStyle name="Hyperlink" xfId="56" builtinId="8" hidden="1"/>
    <cellStyle name="Hyperlink" xfId="282" builtinId="8" hidden="1"/>
    <cellStyle name="Hyperlink" xfId="351" builtinId="8" hidden="1"/>
    <cellStyle name="Hyperlink" xfId="340" builtinId="8" hidden="1"/>
    <cellStyle name="Hyperlink" xfId="505" builtinId="8" hidden="1"/>
    <cellStyle name="Hyperlink" xfId="737" builtinId="8" hidden="1"/>
    <cellStyle name="Hyperlink" xfId="234" builtinId="8" hidden="1"/>
    <cellStyle name="Hyperlink" xfId="389" builtinId="8" hidden="1"/>
    <cellStyle name="Hyperlink" xfId="465" builtinId="8" hidden="1"/>
    <cellStyle name="Hyperlink" xfId="164" builtinId="8" hidden="1"/>
    <cellStyle name="Hyperlink" xfId="525" builtinId="8" hidden="1"/>
    <cellStyle name="Hyperlink" xfId="170" builtinId="8" hidden="1"/>
    <cellStyle name="Hyperlink" xfId="475" builtinId="8" hidden="1"/>
    <cellStyle name="Hyperlink" xfId="423" builtinId="8" hidden="1"/>
    <cellStyle name="Hyperlink" xfId="643" builtinId="8" hidden="1"/>
    <cellStyle name="Hyperlink" xfId="686" builtinId="8" hidden="1"/>
    <cellStyle name="Hyperlink" xfId="232" builtinId="8" hidden="1"/>
    <cellStyle name="Hyperlink" xfId="688" builtinId="8" hidden="1"/>
    <cellStyle name="Hyperlink" xfId="447" builtinId="8" hidden="1"/>
    <cellStyle name="Hyperlink" xfId="198" builtinId="8" hidden="1"/>
    <cellStyle name="Hyperlink" xfId="603" builtinId="8" hidden="1"/>
    <cellStyle name="Hyperlink" xfId="344" builtinId="8" hidden="1"/>
    <cellStyle name="Hyperlink" xfId="487" builtinId="8" hidden="1"/>
    <cellStyle name="Hyperlink" xfId="635" builtinId="8" hidden="1"/>
    <cellStyle name="Hyperlink" xfId="92" builtinId="8" hidden="1"/>
    <cellStyle name="Hyperlink" xfId="533" builtinId="8" hidden="1"/>
    <cellStyle name="Hyperlink" xfId="365" builtinId="8" hidden="1"/>
    <cellStyle name="Hyperlink" xfId="700" builtinId="8" hidden="1"/>
    <cellStyle name="Hyperlink" xfId="385" builtinId="8" hidden="1"/>
    <cellStyle name="Hyperlink" xfId="555" builtinId="8" hidden="1"/>
    <cellStyle name="Hyperlink" xfId="124" builtinId="8" hidden="1"/>
    <cellStyle name="Hyperlink" xfId="260" builtinId="8" hidden="1"/>
    <cellStyle name="Hyperlink" xfId="547" builtinId="8" hidden="1"/>
    <cellStyle name="Hyperlink" xfId="332" builtinId="8" hidden="1"/>
    <cellStyle name="Hyperlink" xfId="565" builtinId="8" hidden="1"/>
    <cellStyle name="Hyperlink" xfId="258" builtinId="8" hidden="1"/>
    <cellStyle name="Hyperlink" xfId="625" builtinId="8" hidden="1"/>
    <cellStyle name="Hyperlink" xfId="706" builtinId="8" hidden="1"/>
    <cellStyle name="Hyperlink" xfId="314" builtinId="8" hidden="1"/>
    <cellStyle name="Hyperlink" xfId="361" builtinId="8" hidden="1"/>
    <cellStyle name="Hyperlink" xfId="104" builtinId="8" hidden="1"/>
    <cellStyle name="Hyperlink" xfId="367" builtinId="8" hidden="1"/>
    <cellStyle name="Hyperlink" xfId="489" builtinId="8" hidden="1"/>
    <cellStyle name="Hyperlink" xfId="284" builtinId="8" hidden="1"/>
    <cellStyle name="Hyperlink" xfId="220" builtinId="8" hidden="1"/>
    <cellStyle name="Hyperlink" xfId="162" builtinId="8" hidden="1"/>
    <cellStyle name="Hyperlink" xfId="238" builtinId="8" hidden="1"/>
    <cellStyle name="Hyperlink" xfId="20" builtinId="8" hidden="1"/>
    <cellStyle name="Hyperlink" xfId="334" builtinId="8" hidden="1"/>
    <cellStyle name="Hyperlink" xfId="537" builtinId="8" hidden="1"/>
    <cellStyle name="Hyperlink" xfId="290" builtinId="8" hidden="1"/>
    <cellStyle name="Hyperlink" xfId="485" builtinId="8" hidden="1"/>
    <cellStyle name="Hyperlink" xfId="6" builtinId="8" hidden="1"/>
    <cellStyle name="Hyperlink" xfId="12" builtinId="8" hidden="1"/>
    <cellStyle name="Hyperlink" xfId="381" builtinId="8" hidden="1"/>
    <cellStyle name="Hyperlink" xfId="473" builtinId="8" hidden="1"/>
    <cellStyle name="Hyperlink" xfId="312" builtinId="8" hidden="1"/>
    <cellStyle name="Hyperlink" xfId="278" builtinId="8" hidden="1"/>
    <cellStyle name="Hyperlink" xfId="304" builtinId="8" hidden="1"/>
    <cellStyle name="Hyperlink" xfId="437" builtinId="8" hidden="1"/>
    <cellStyle name="Hyperlink" xfId="128" builtinId="8" hidden="1"/>
    <cellStyle name="Hyperlink" xfId="316" builtinId="8" hidden="1"/>
    <cellStyle name="Hyperlink" xfId="714" builtinId="8" hidden="1"/>
    <cellStyle name="Hyperlink" xfId="126" builtinId="8" hidden="1"/>
    <cellStyle name="Hyperlink" xfId="657" builtinId="8" hidden="1"/>
    <cellStyle name="Hyperlink" xfId="605" builtinId="8" hidden="1"/>
    <cellStyle name="Hyperlink" xfId="637" builtinId="8" hidden="1"/>
    <cellStyle name="Hyperlink" xfId="499" builtinId="8" hidden="1"/>
    <cellStyle name="Hyperlink" xfId="168" builtinId="8" hidden="1"/>
    <cellStyle name="Hyperlink" xfId="479" builtinId="8" hidden="1"/>
    <cellStyle name="Hyperlink" xfId="122" builtinId="8" hidden="1"/>
    <cellStyle name="Hyperlink" xfId="148" builtinId="8" hidden="1"/>
    <cellStyle name="Hyperlink" xfId="158" builtinId="8" hidden="1"/>
    <cellStyle name="Hyperlink" xfId="726" builtinId="8" hidden="1"/>
    <cellStyle name="Hyperlink" xfId="469" builtinId="8" hidden="1"/>
    <cellStyle name="Hyperlink" xfId="64" builtinId="8" hidden="1"/>
    <cellStyle name="Hyperlink" xfId="595" builtinId="8" hidden="1"/>
    <cellStyle name="Hyperlink" xfId="597" builtinId="8" hidden="1"/>
    <cellStyle name="Hyperlink" xfId="318" builtinId="8" hidden="1"/>
    <cellStyle name="Hyperlink" xfId="270" builtinId="8" hidden="1"/>
    <cellStyle name="Hyperlink" xfId="543" builtinId="8" hidden="1"/>
    <cellStyle name="Hyperlink" xfId="308" builtinId="8" hidden="1"/>
    <cellStyle name="Hyperlink" xfId="519" builtinId="8" hidden="1"/>
    <cellStyle name="Hyperlink" xfId="86" builtinId="8" hidden="1"/>
    <cellStyle name="Hyperlink" xfId="455" builtinId="8" hidden="1"/>
    <cellStyle name="Hyperlink" xfId="631" builtinId="8" hidden="1"/>
    <cellStyle name="Hyperlink" xfId="655" builtinId="8" hidden="1"/>
    <cellStyle name="Hyperlink" xfId="443" builtinId="8" hidden="1"/>
    <cellStyle name="Hyperlink" xfId="182" builtinId="8" hidden="1"/>
    <cellStyle name="Hyperlink" xfId="110" builtinId="8" hidden="1"/>
    <cellStyle name="Hyperlink" xfId="152" builtinId="8" hidden="1"/>
    <cellStyle name="Hyperlink" xfId="50" builtinId="8" hidden="1"/>
    <cellStyle name="Hyperlink" xfId="497" builtinId="8" hidden="1"/>
    <cellStyle name="Hyperlink" xfId="579" builtinId="8" hidden="1"/>
    <cellStyle name="Hyperlink" xfId="581" builtinId="8" hidden="1"/>
    <cellStyle name="Hyperlink" xfId="698" builtinId="8" hidden="1"/>
    <cellStyle name="Hyperlink" xfId="98" builtinId="8" hidden="1"/>
    <cellStyle name="Hyperlink" xfId="425" builtinId="8" hidden="1"/>
    <cellStyle name="Hyperlink" xfId="114" builtinId="8" hidden="1"/>
    <cellStyle name="Hyperlink" xfId="445" builtinId="8" hidden="1"/>
    <cellStyle name="Hyperlink" xfId="76" builtinId="8" hidden="1"/>
    <cellStyle name="Hyperlink" xfId="190" builtinId="8" hidden="1"/>
    <cellStyle name="Hyperlink" xfId="371" builtinId="8" hidden="1"/>
    <cellStyle name="Hyperlink" xfId="415" builtinId="8" hidden="1"/>
    <cellStyle name="Hyperlink" xfId="515" builtinId="8" hidden="1"/>
    <cellStyle name="Hyperlink" xfId="571" builtinId="8" hidden="1"/>
    <cellStyle name="Hyperlink" xfId="296" builtinId="8" hidden="1"/>
    <cellStyle name="Hyperlink" xfId="682" builtinId="8" hidden="1"/>
    <cellStyle name="Hyperlink" xfId="306" builtinId="8" hidden="1"/>
    <cellStyle name="Hyperlink" xfId="310" builtinId="8" hidden="1"/>
    <cellStyle name="Hyperlink" xfId="407" builtinId="8" hidden="1"/>
    <cellStyle name="Hyperlink" xfId="645" builtinId="8" hidden="1"/>
    <cellStyle name="Hyperlink" xfId="563" builtinId="8" hidden="1"/>
    <cellStyle name="Hyperlink" xfId="724" builtinId="8" hidden="1"/>
    <cellStyle name="Hyperlink" xfId="733" builtinId="8" hidden="1"/>
    <cellStyle name="Hyperlink" xfId="692" builtinId="8" hidden="1"/>
    <cellStyle name="Hyperlink" xfId="431" builtinId="8" hidden="1"/>
    <cellStyle name="Hyperlink" xfId="559" builtinId="8" hidden="1"/>
    <cellStyle name="Hyperlink" xfId="48" builtinId="8" hidden="1"/>
    <cellStyle name="Hyperlink" xfId="118" builtinId="8" hidden="1"/>
    <cellStyle name="Hyperlink" xfId="94" builtinId="8" hidden="1"/>
    <cellStyle name="Hyperlink" xfId="363" builtinId="8" hidden="1"/>
    <cellStyle name="Hyperlink" xfId="292" builtinId="8" hidden="1"/>
    <cellStyle name="Hyperlink" xfId="639" builtinId="8" hidden="1"/>
    <cellStyle name="Hyperlink" xfId="144" builtinId="8" hidden="1"/>
    <cellStyle name="Hyperlink" xfId="417" builtinId="8" hidden="1"/>
    <cellStyle name="Hyperlink" xfId="206" builtinId="8" hidden="1"/>
    <cellStyle name="Hyperlink" xfId="288" builtinId="8" hidden="1"/>
    <cellStyle name="Hyperlink" xfId="88" builtinId="8" hidden="1"/>
    <cellStyle name="Hyperlink" xfId="591" builtinId="8" hidden="1"/>
    <cellStyle name="Hyperlink" xfId="613" builtinId="8" hidden="1"/>
    <cellStyle name="Hyperlink" xfId="280" builtinId="8" hidden="1"/>
    <cellStyle name="Hyperlink" xfId="589" builtinId="8" hidden="1"/>
    <cellStyle name="Hyperlink" xfId="78" builtinId="8" hidden="1"/>
    <cellStyle name="Hyperlink" xfId="609" builtinId="8" hidden="1"/>
    <cellStyle name="Hyperlink" xfId="132" builtinId="8" hidden="1"/>
    <cellStyle name="Hyperlink" xfId="459" builtinId="8" hidden="1"/>
    <cellStyle name="Hyperlink" xfId="647" builtinId="8" hidden="1"/>
    <cellStyle name="Hyperlink" xfId="633" builtinId="8" hidden="1"/>
    <cellStyle name="Hyperlink" xfId="661" builtinId="8" hidden="1"/>
    <cellStyle name="Hyperlink" xfId="359" builtinId="8" hidden="1"/>
    <cellStyle name="Hyperlink" xfId="708" builtinId="8" hidden="1"/>
    <cellStyle name="Hyperlink" xfId="373" builtinId="8" hidden="1"/>
    <cellStyle name="Hyperlink" xfId="192" builtinId="8" hidden="1"/>
    <cellStyle name="Hyperlink" xfId="355" builtinId="8" hidden="1"/>
    <cellStyle name="Hyperlink" xfId="395" builtinId="8" hidden="1"/>
    <cellStyle name="Hyperlink" xfId="96" builtinId="8" hidden="1"/>
    <cellStyle name="Hyperlink" xfId="722" builtinId="8" hidden="1"/>
    <cellStyle name="Hyperlink" xfId="22" builtinId="8" hidden="1"/>
    <cellStyle name="Hyperlink" xfId="330" builtinId="8" hidden="1"/>
    <cellStyle name="Hyperlink" xfId="100" builtinId="8" hidden="1"/>
    <cellStyle name="Hyperlink" xfId="298" builtinId="8" hidden="1"/>
    <cellStyle name="Hyperlink" xfId="184" builtinId="8" hidden="1"/>
    <cellStyle name="Hyperlink" xfId="2" builtinId="8" hidden="1"/>
    <cellStyle name="Hyperlink" xfId="244" builtinId="8" hidden="1"/>
    <cellStyle name="Hyperlink" xfId="593" builtinId="8" hidden="1"/>
    <cellStyle name="Hyperlink" xfId="551" builtinId="8" hidden="1"/>
    <cellStyle name="Hyperlink" xfId="252" builtinId="8" hidden="1"/>
    <cellStyle name="Hyperlink" xfId="294" builtinId="8" hidden="1"/>
    <cellStyle name="Hyperlink" xfId="491" builtinId="8" hidden="1"/>
    <cellStyle name="Hyperlink" xfId="678" builtinId="8" hidden="1"/>
    <cellStyle name="Hyperlink" xfId="52" builtinId="8" hidden="1"/>
    <cellStyle name="Hyperlink" xfId="527" builtinId="8" hidden="1"/>
    <cellStyle name="Hyperlink" xfId="569" builtinId="8" hidden="1"/>
    <cellStyle name="Hyperlink" xfId="102" builtinId="8" hidden="1"/>
    <cellStyle name="Hyperlink" xfId="174" builtinId="8" hidden="1"/>
    <cellStyle name="Hyperlink" xfId="641" builtinId="8" hidden="1"/>
    <cellStyle name="Hyperlink" xfId="653" builtinId="8" hidden="1"/>
    <cellStyle name="Hyperlink" xfId="553" builtinId="8" hidden="1"/>
    <cellStyle name="Hyperlink" xfId="264" builtinId="8" hidden="1"/>
    <cellStyle name="Hyperlink" xfId="617" builtinId="8" hidden="1"/>
    <cellStyle name="Hyperlink" xfId="136" builtinId="8" hidden="1"/>
    <cellStyle name="Hyperlink" xfId="561" builtinId="8" hidden="1"/>
    <cellStyle name="Hyperlink" xfId="599" builtinId="8" hidden="1"/>
    <cellStyle name="Hyperlink" xfId="38" builtinId="8" hidden="1"/>
    <cellStyle name="Hyperlink" xfId="696" builtinId="8" hidden="1"/>
    <cellStyle name="Hyperlink" xfId="130" builtinId="8" hidden="1"/>
    <cellStyle name="Hyperlink" xfId="509" builtinId="8" hidden="1"/>
    <cellStyle name="Hyperlink" xfId="387" builtinId="8" hidden="1"/>
    <cellStyle name="Hyperlink" xfId="413" builtinId="8" hidden="1"/>
    <cellStyle name="Hyperlink" xfId="226" builtinId="8" hidden="1"/>
    <cellStyle name="Hyperlink" xfId="710" builtinId="8" hidden="1"/>
    <cellStyle name="Hyperlink" xfId="541" builtinId="8" hidden="1"/>
    <cellStyle name="Hyperlink" xfId="720" builtinId="8" hidden="1"/>
    <cellStyle name="Hyperlink" xfId="353" builtinId="8" hidden="1"/>
    <cellStyle name="Hyperlink" xfId="349" builtinId="8" hidden="1"/>
    <cellStyle name="Hyperlink" xfId="651" builtinId="8" hidden="1"/>
    <cellStyle name="Hyperlink" xfId="694" builtinId="8" hidden="1"/>
    <cellStyle name="Hyperlink" xfId="741" builtinId="8" hidden="1"/>
    <cellStyle name="Hyperlink" xfId="731" builtinId="8" hidden="1"/>
    <cellStyle name="Hyperlink" xfId="154" builtinId="8" hidden="1"/>
    <cellStyle name="Hyperlink" xfId="42" builtinId="8" hidden="1"/>
    <cellStyle name="Hyperlink" xfId="10" builtinId="8" hidden="1"/>
    <cellStyle name="Hyperlink" xfId="587" builtinId="8" hidden="1"/>
    <cellStyle name="Hyperlink" xfId="607" builtinId="8" hidden="1"/>
    <cellStyle name="Hyperlink" xfId="140" builtinId="8" hidden="1"/>
    <cellStyle name="Hyperlink" xfId="300" builtinId="8" hidden="1"/>
    <cellStyle name="Hyperlink" xfId="493" builtinId="8" hidden="1"/>
    <cellStyle name="Hyperlink" xfId="178" builtinId="8" hidden="1"/>
    <cellStyle name="Hyperlink" xfId="619" builtinId="8" hidden="1"/>
    <cellStyle name="Hyperlink" xfId="501" builtinId="8" hidden="1"/>
    <cellStyle name="Hyperlink" xfId="120" builtinId="8" hidden="1"/>
    <cellStyle name="Hyperlink" xfId="471" builtinId="8" hidden="1"/>
    <cellStyle name="Hyperlink" xfId="224" builtinId="8" hidden="1"/>
    <cellStyle name="Hyperlink" xfId="70" builtinId="8" hidden="1"/>
    <cellStyle name="Hyperlink" xfId="116" builtinId="8" hidden="1"/>
    <cellStyle name="Hyperlink" xfId="585" builtinId="8" hidden="1"/>
    <cellStyle name="Hyperlink" xfId="718" builtinId="8" hidden="1"/>
    <cellStyle name="Hyperlink" xfId="108" builtinId="8" hidden="1"/>
    <cellStyle name="Hyperlink" xfId="375" builtinId="8" hidden="1"/>
    <cellStyle name="Hyperlink" xfId="539" builtinId="8" hidden="1"/>
    <cellStyle name="Hyperlink" xfId="202" builtinId="8" hidden="1"/>
    <cellStyle name="Hyperlink" xfId="266" builtinId="8" hidden="1"/>
    <cellStyle name="Hyperlink" xfId="735" builtinId="8" hidden="1"/>
    <cellStyle name="Hyperlink" xfId="134" builtinId="8" hidden="1"/>
    <cellStyle name="Hyperlink" xfId="621" builtinId="8" hidden="1"/>
    <cellStyle name="Hyperlink" xfId="62" builtinId="8" hidden="1"/>
    <cellStyle name="Hyperlink" xfId="397" builtinId="8" hidden="1"/>
    <cellStyle name="Hyperlink" xfId="186" builtinId="8" hidden="1"/>
    <cellStyle name="Hyperlink" xfId="441" builtinId="8" hidden="1"/>
    <cellStyle name="Hyperlink" xfId="704" builtinId="8" hidden="1"/>
    <cellStyle name="Hyperlink" xfId="36" builtinId="8" hidden="1"/>
    <cellStyle name="Hyperlink" xfId="623" builtinId="8" hidden="1"/>
    <cellStyle name="Hyperlink" xfId="212" builtinId="8" hidden="1"/>
    <cellStyle name="Neutral 2" xfId="747"/>
    <cellStyle name="Normal" xfId="0" builtinId="0"/>
    <cellStyle name="Normal 2" xfId="346"/>
    <cellStyle name="Normal 3" xfId="730"/>
    <cellStyle name="Percent" xfId="1" builtinId="5"/>
    <cellStyle name="Percent 2" xfId="347"/>
  </cellStyles>
  <dxfs count="0"/>
  <tableStyles count="0" defaultTableStyle="TableStyleMedium9" defaultPivotStyle="PivotStyleLight16"/>
  <colors>
    <mruColors>
      <color rgb="FFFF00FF"/>
      <color rgb="FFCCFFCC"/>
      <color rgb="FF66FF33"/>
      <color rgb="FFFFFF99"/>
      <color rgb="FF66FF66"/>
      <color rgb="FF00FF99"/>
      <color rgb="FF00FF00"/>
      <color rgb="FFCCECFF"/>
      <color rgb="FF66FF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84740745262"/>
    <pageSetUpPr fitToPage="1"/>
  </sheetPr>
  <dimension ref="A1:AA288"/>
  <sheetViews>
    <sheetView tabSelected="1" zoomScaleNormal="100" zoomScaleSheetLayoutView="100" workbookViewId="0">
      <selection activeCell="A4" sqref="A4"/>
    </sheetView>
  </sheetViews>
  <sheetFormatPr defaultColWidth="9.1796875" defaultRowHeight="13"/>
  <cols>
    <col min="1" max="1" width="51.1796875" style="2" customWidth="1"/>
    <col min="2" max="2" width="49" style="1" customWidth="1"/>
    <col min="3" max="3" width="18.1796875" style="3" customWidth="1"/>
    <col min="4" max="4" width="11.54296875" style="4" customWidth="1"/>
    <col min="5" max="5" width="5" style="4" customWidth="1"/>
    <col min="6" max="6" width="8.81640625" style="4" customWidth="1"/>
    <col min="7" max="7" width="18.1796875" style="3" customWidth="1"/>
    <col min="8" max="8" width="20.1796875" style="3" customWidth="1"/>
    <col min="9" max="9" width="10.7265625" style="417" hidden="1" customWidth="1"/>
    <col min="10" max="12" width="9.1796875" style="337" hidden="1" customWidth="1"/>
    <col min="13" max="14" width="9.1796875" style="337" customWidth="1"/>
    <col min="15" max="18" width="9.1796875" style="337" hidden="1" customWidth="1"/>
    <col min="19" max="19" width="11.1796875" style="337" hidden="1" customWidth="1"/>
    <col min="20" max="20" width="9.1796875" style="337"/>
    <col min="21" max="16384" width="9.1796875" style="4"/>
  </cols>
  <sheetData>
    <row r="1" spans="1:27" ht="26.15" customHeight="1">
      <c r="A1" s="558" t="s">
        <v>402</v>
      </c>
      <c r="B1" s="559"/>
      <c r="C1" s="559"/>
      <c r="D1" s="559"/>
      <c r="E1" s="559"/>
      <c r="F1" s="559"/>
      <c r="G1" s="559"/>
      <c r="H1" s="560"/>
      <c r="I1" s="335"/>
      <c r="J1" s="336"/>
      <c r="K1" s="336"/>
      <c r="L1" s="336"/>
      <c r="M1" s="336"/>
      <c r="N1" s="336"/>
      <c r="O1" s="336"/>
      <c r="P1" s="336"/>
      <c r="Q1" s="336"/>
      <c r="R1" s="336"/>
    </row>
    <row r="2" spans="1:27" ht="33" customHeight="1">
      <c r="A2" s="561" t="s">
        <v>0</v>
      </c>
      <c r="B2" s="562"/>
      <c r="C2" s="562"/>
      <c r="D2" s="562"/>
      <c r="E2" s="562"/>
      <c r="F2" s="562"/>
      <c r="G2" s="562"/>
      <c r="H2" s="563"/>
      <c r="I2" s="338"/>
      <c r="J2" s="336"/>
      <c r="K2" s="336"/>
      <c r="L2" s="336"/>
      <c r="M2" s="336"/>
      <c r="N2" s="336"/>
      <c r="O2" s="336"/>
      <c r="P2" s="336"/>
      <c r="Q2" s="336"/>
      <c r="R2" s="336"/>
      <c r="T2" s="340"/>
      <c r="U2" s="7"/>
      <c r="V2" s="7"/>
      <c r="W2" s="7"/>
      <c r="X2" s="7"/>
      <c r="Y2" s="7"/>
      <c r="Z2" s="7"/>
    </row>
    <row r="3" spans="1:27" ht="40.5" customHeight="1">
      <c r="A3" s="564" t="s">
        <v>1</v>
      </c>
      <c r="B3" s="564"/>
      <c r="C3" s="564"/>
      <c r="D3" s="564"/>
      <c r="E3" s="564"/>
      <c r="F3" s="564"/>
      <c r="G3" s="564"/>
      <c r="H3" s="564"/>
      <c r="I3" s="341"/>
      <c r="J3" s="336"/>
      <c r="K3" s="336"/>
      <c r="L3" s="336"/>
      <c r="M3" s="336"/>
      <c r="N3" s="336"/>
      <c r="O3" s="336"/>
      <c r="P3" s="336"/>
      <c r="Q3" s="336"/>
      <c r="R3" s="336"/>
    </row>
    <row r="4" spans="1:27" s="7" customFormat="1" ht="24.75" customHeight="1">
      <c r="A4" s="20"/>
      <c r="B4" s="20"/>
      <c r="C4" s="20"/>
      <c r="D4" s="16"/>
      <c r="E4" s="16"/>
      <c r="F4" s="16"/>
      <c r="G4" s="20"/>
      <c r="H4" s="476" t="s">
        <v>2</v>
      </c>
      <c r="I4" s="342"/>
      <c r="J4" s="336"/>
      <c r="K4" s="336"/>
      <c r="L4" s="336"/>
      <c r="M4" s="336"/>
      <c r="N4" s="336"/>
      <c r="O4" s="336"/>
      <c r="P4" s="336"/>
      <c r="Q4" s="336"/>
      <c r="R4" s="336"/>
      <c r="S4" s="337"/>
      <c r="T4" s="339"/>
    </row>
    <row r="5" spans="1:27" s="5" customFormat="1" ht="17.25" customHeight="1">
      <c r="A5" s="21" t="s">
        <v>3</v>
      </c>
      <c r="B5" s="22" t="s">
        <v>4</v>
      </c>
      <c r="C5" s="565" t="s">
        <v>5</v>
      </c>
      <c r="D5" s="566"/>
      <c r="E5" s="566"/>
      <c r="F5" s="566"/>
      <c r="G5" s="566"/>
      <c r="H5" s="241"/>
      <c r="I5" s="68"/>
      <c r="J5" s="343"/>
      <c r="K5" s="343"/>
      <c r="L5" s="343"/>
      <c r="M5" s="343"/>
      <c r="N5" s="343"/>
      <c r="O5" s="343"/>
      <c r="P5" s="343"/>
      <c r="Q5" s="343"/>
      <c r="R5" s="343"/>
      <c r="S5" s="344"/>
      <c r="T5" s="344"/>
    </row>
    <row r="6" spans="1:27" s="5" customFormat="1" ht="17.25" customHeight="1">
      <c r="A6" s="21" t="s">
        <v>6</v>
      </c>
      <c r="B6" s="477" t="s">
        <v>7</v>
      </c>
      <c r="C6" s="565" t="s">
        <v>8</v>
      </c>
      <c r="D6" s="566"/>
      <c r="E6" s="566"/>
      <c r="F6" s="566"/>
      <c r="G6" s="566"/>
      <c r="H6" s="241"/>
      <c r="I6" s="68"/>
      <c r="J6" s="343"/>
      <c r="K6" s="343"/>
      <c r="L6" s="343"/>
      <c r="M6" s="343"/>
      <c r="N6" s="343"/>
      <c r="O6" s="343"/>
      <c r="P6" s="343"/>
      <c r="Q6" s="343"/>
      <c r="R6" s="343"/>
      <c r="S6" s="344"/>
      <c r="T6" s="344"/>
    </row>
    <row r="7" spans="1:27" ht="17.25" customHeight="1">
      <c r="A7" s="21" t="s">
        <v>9</v>
      </c>
      <c r="B7" s="477" t="s">
        <v>10</v>
      </c>
      <c r="C7" s="565" t="s">
        <v>11</v>
      </c>
      <c r="D7" s="566"/>
      <c r="E7" s="566"/>
      <c r="F7" s="566"/>
      <c r="G7" s="566"/>
      <c r="H7" s="241"/>
      <c r="I7" s="68"/>
      <c r="J7" s="533"/>
      <c r="K7" s="533"/>
      <c r="L7" s="533"/>
      <c r="M7" s="533"/>
      <c r="N7" s="533"/>
      <c r="O7" s="533"/>
      <c r="P7" s="533"/>
      <c r="Q7" s="533"/>
      <c r="R7" s="336"/>
    </row>
    <row r="8" spans="1:27" ht="9.75" customHeight="1" thickBot="1">
      <c r="A8" s="21"/>
      <c r="B8" s="23"/>
      <c r="C8" s="518"/>
      <c r="D8" s="519"/>
      <c r="E8" s="519"/>
      <c r="F8" s="519"/>
      <c r="G8" s="519"/>
      <c r="H8" s="68"/>
      <c r="I8" s="68"/>
      <c r="J8" s="533"/>
      <c r="K8" s="533"/>
      <c r="L8" s="533"/>
      <c r="M8" s="533"/>
      <c r="N8" s="533"/>
      <c r="O8" s="533"/>
      <c r="P8" s="533"/>
      <c r="Q8" s="533"/>
      <c r="R8" s="336"/>
    </row>
    <row r="9" spans="1:27" s="59" customFormat="1" ht="27" customHeight="1" thickTop="1" thickBot="1">
      <c r="A9" s="65" t="s">
        <v>12</v>
      </c>
      <c r="B9" s="69"/>
      <c r="C9" s="66" t="s">
        <v>13</v>
      </c>
      <c r="D9" s="582">
        <f>SUM(D24,D88,D145,D181,D214,D272)</f>
        <v>0</v>
      </c>
      <c r="E9" s="583"/>
      <c r="F9" s="584"/>
      <c r="G9" s="67" t="s">
        <v>14</v>
      </c>
      <c r="H9" s="220">
        <f>SUM(H24,H88,H145,H181,H214,H272)</f>
        <v>200</v>
      </c>
      <c r="I9" s="345"/>
      <c r="J9" s="346"/>
      <c r="K9" s="346"/>
      <c r="L9" s="347"/>
      <c r="M9" s="347"/>
      <c r="N9" s="347"/>
      <c r="O9" s="347"/>
      <c r="P9" s="347"/>
      <c r="Q9" s="347"/>
      <c r="R9" s="348"/>
      <c r="S9" s="349"/>
      <c r="T9" s="349"/>
    </row>
    <row r="10" spans="1:27" s="59" customFormat="1" ht="27" customHeight="1" thickTop="1">
      <c r="A10" s="270"/>
      <c r="B10" s="271"/>
      <c r="C10" s="272"/>
      <c r="D10" s="276"/>
      <c r="E10" s="276"/>
      <c r="F10" s="276"/>
      <c r="G10" s="273"/>
      <c r="H10" s="277"/>
      <c r="I10" s="345"/>
      <c r="J10" s="346"/>
      <c r="K10" s="346"/>
      <c r="L10" s="347"/>
      <c r="M10" s="347"/>
      <c r="N10" s="347"/>
      <c r="O10" s="347"/>
      <c r="P10" s="347"/>
      <c r="Q10" s="347"/>
      <c r="R10" s="348"/>
      <c r="S10" s="349"/>
      <c r="T10" s="349"/>
    </row>
    <row r="11" spans="1:27" s="59" customFormat="1" ht="36.75" customHeight="1">
      <c r="A11" s="266" t="s">
        <v>15</v>
      </c>
      <c r="B11" s="267" t="s">
        <v>16</v>
      </c>
      <c r="C11" s="268"/>
      <c r="D11" s="569" t="s">
        <v>17</v>
      </c>
      <c r="E11" s="570"/>
      <c r="F11" s="570"/>
      <c r="G11" s="269"/>
      <c r="H11" s="421" t="s">
        <v>18</v>
      </c>
      <c r="I11" s="345"/>
      <c r="J11" s="346"/>
      <c r="K11" s="346"/>
      <c r="L11" s="347"/>
      <c r="M11" s="348"/>
      <c r="N11" s="348"/>
      <c r="O11" s="348"/>
      <c r="P11" s="348"/>
      <c r="Q11" s="348"/>
      <c r="R11" s="348"/>
      <c r="S11" s="350"/>
      <c r="T11" s="351"/>
      <c r="U11" s="316"/>
      <c r="V11" s="316"/>
      <c r="W11" s="316"/>
      <c r="X11" s="316"/>
      <c r="Y11" s="316"/>
      <c r="Z11" s="316"/>
      <c r="AA11" s="316"/>
    </row>
    <row r="12" spans="1:27" s="59" customFormat="1" ht="22.5" customHeight="1">
      <c r="A12" s="30" t="s">
        <v>19</v>
      </c>
      <c r="B12" s="29"/>
      <c r="C12" s="28"/>
      <c r="D12" s="524"/>
      <c r="E12" s="29"/>
      <c r="F12" s="180"/>
      <c r="G12" s="27"/>
      <c r="H12" s="26"/>
      <c r="I12" s="345"/>
      <c r="J12" s="346"/>
      <c r="K12" s="346"/>
      <c r="L12" s="347"/>
      <c r="M12" s="348"/>
      <c r="N12" s="348"/>
      <c r="O12" s="348"/>
      <c r="P12" s="348"/>
      <c r="Q12" s="348"/>
      <c r="R12" s="348"/>
      <c r="S12" s="350"/>
      <c r="T12" s="351"/>
      <c r="U12" s="316"/>
      <c r="V12" s="316"/>
      <c r="W12" s="316"/>
      <c r="X12" s="316"/>
      <c r="Y12" s="316"/>
      <c r="Z12" s="316"/>
      <c r="AA12" s="316"/>
    </row>
    <row r="13" spans="1:27" s="59" customFormat="1" ht="26.25" customHeight="1">
      <c r="A13" s="422" t="s">
        <v>20</v>
      </c>
      <c r="B13" s="122" t="s">
        <v>21</v>
      </c>
      <c r="C13" s="82" t="s">
        <v>22</v>
      </c>
      <c r="D13" s="580" t="str">
        <f>IF(C13="Select Yes or No","",IF(C13="Yes","Project Qualifies to Complete Scoring","Proceed to next question"))</f>
        <v/>
      </c>
      <c r="E13" s="581"/>
      <c r="F13" s="581"/>
      <c r="G13" s="262"/>
      <c r="H13" s="263"/>
      <c r="I13" s="345"/>
      <c r="J13" s="346"/>
      <c r="K13" s="346"/>
      <c r="L13" s="347"/>
      <c r="M13" s="348"/>
      <c r="N13" s="348"/>
      <c r="O13" s="348"/>
      <c r="P13" s="348"/>
      <c r="Q13" s="348"/>
      <c r="R13" s="348"/>
      <c r="S13" s="392"/>
      <c r="T13" s="351"/>
      <c r="U13" s="316"/>
      <c r="V13" s="316"/>
      <c r="W13" s="316"/>
      <c r="X13" s="316"/>
      <c r="Y13" s="316"/>
      <c r="Z13" s="316"/>
      <c r="AA13" s="316"/>
    </row>
    <row r="14" spans="1:27" s="51" customFormat="1" ht="29.25" customHeight="1">
      <c r="A14" s="422" t="s">
        <v>23</v>
      </c>
      <c r="B14" s="122" t="s">
        <v>24</v>
      </c>
      <c r="C14" s="82" t="s">
        <v>22</v>
      </c>
      <c r="D14" s="580" t="str">
        <f>IF(C14="Select Yes or No","",IF(C14="No","Continue to next question","Verify project type"))</f>
        <v/>
      </c>
      <c r="E14" s="581"/>
      <c r="F14" s="581"/>
      <c r="G14" s="262"/>
      <c r="H14" s="263"/>
      <c r="I14" s="352"/>
      <c r="J14" s="353"/>
      <c r="K14" s="354"/>
      <c r="L14" s="354"/>
      <c r="M14" s="354"/>
      <c r="N14" s="354"/>
      <c r="O14" s="354"/>
      <c r="P14" s="354"/>
      <c r="Q14" s="354"/>
      <c r="R14" s="354"/>
      <c r="S14" s="355"/>
      <c r="T14" s="355"/>
      <c r="U14" s="315"/>
      <c r="V14" s="315"/>
      <c r="W14" s="315"/>
      <c r="X14" s="315"/>
      <c r="Y14" s="315"/>
      <c r="Z14" s="315"/>
      <c r="AA14" s="315"/>
    </row>
    <row r="15" spans="1:27" s="51" customFormat="1" ht="18" customHeight="1">
      <c r="A15" s="30" t="s">
        <v>25</v>
      </c>
      <c r="B15" s="29"/>
      <c r="C15" s="28"/>
      <c r="D15" s="524"/>
      <c r="E15" s="29"/>
      <c r="F15" s="180"/>
      <c r="G15" s="27"/>
      <c r="H15" s="26"/>
      <c r="I15" s="68"/>
      <c r="J15" s="356"/>
      <c r="K15" s="354"/>
      <c r="L15" s="354"/>
      <c r="M15" s="354"/>
      <c r="N15" s="354"/>
      <c r="O15" s="354"/>
      <c r="P15" s="354"/>
      <c r="Q15" s="354"/>
      <c r="R15" s="354"/>
      <c r="S15" s="355"/>
      <c r="T15" s="355"/>
      <c r="U15" s="315"/>
      <c r="V15" s="315"/>
      <c r="W15" s="315"/>
      <c r="X15" s="315"/>
      <c r="Y15" s="315"/>
      <c r="Z15" s="315"/>
      <c r="AA15" s="315"/>
    </row>
    <row r="16" spans="1:27" s="51" customFormat="1" ht="29.25" customHeight="1">
      <c r="A16" s="138" t="s">
        <v>26</v>
      </c>
      <c r="B16" s="182" t="s">
        <v>27</v>
      </c>
      <c r="C16" s="82" t="s">
        <v>22</v>
      </c>
      <c r="D16" s="580" t="str">
        <f>IF(C16="Select yes or no", "",IF(C16="yes", "Continue to next question", "Stop. Must commit to CES/CAHP"))</f>
        <v/>
      </c>
      <c r="E16" s="581"/>
      <c r="F16" s="581"/>
      <c r="G16" s="262"/>
      <c r="H16" s="263"/>
      <c r="I16" s="357"/>
      <c r="J16" s="358"/>
      <c r="K16" s="354"/>
      <c r="L16" s="354"/>
      <c r="M16" s="354"/>
      <c r="N16" s="354"/>
      <c r="O16" s="354"/>
      <c r="P16" s="354"/>
      <c r="Q16" s="354"/>
      <c r="R16" s="354"/>
      <c r="S16" s="355"/>
      <c r="T16" s="355"/>
      <c r="U16" s="315"/>
      <c r="V16" s="315"/>
      <c r="W16" s="315"/>
      <c r="X16" s="315"/>
      <c r="Y16" s="315"/>
      <c r="Z16" s="315"/>
      <c r="AA16" s="315"/>
    </row>
    <row r="17" spans="1:24" s="51" customFormat="1" ht="18" customHeight="1">
      <c r="A17" s="30" t="s">
        <v>28</v>
      </c>
      <c r="B17" s="29"/>
      <c r="C17" s="28"/>
      <c r="D17" s="524"/>
      <c r="E17" s="29"/>
      <c r="F17" s="180"/>
      <c r="G17" s="27"/>
      <c r="H17" s="26"/>
      <c r="I17" s="357"/>
      <c r="J17" s="358"/>
      <c r="K17" s="354"/>
      <c r="L17" s="354"/>
      <c r="M17" s="354"/>
      <c r="N17" s="354"/>
      <c r="O17" s="354"/>
      <c r="P17" s="354"/>
      <c r="Q17" s="354"/>
      <c r="R17" s="354"/>
      <c r="S17" s="355"/>
      <c r="T17" s="359"/>
    </row>
    <row r="18" spans="1:24" s="51" customFormat="1" ht="29.25" customHeight="1">
      <c r="A18" s="138" t="s">
        <v>29</v>
      </c>
      <c r="B18" s="528" t="s">
        <v>30</v>
      </c>
      <c r="C18" s="82" t="s">
        <v>22</v>
      </c>
      <c r="D18" s="552" t="str">
        <f>IF(C18="Select yes or no"," ",IF((AND(C18="Yes")), "Progress to next question","Please complete training at RTFHsd.org"))</f>
        <v xml:space="preserve"> </v>
      </c>
      <c r="E18" s="553"/>
      <c r="F18" s="553"/>
      <c r="G18" s="262"/>
      <c r="H18" s="264"/>
      <c r="I18" s="31"/>
      <c r="J18" s="243" t="str">
        <f>IF(C16="SELECT YES OR NO","",IF((AND(C16="Yes")),"Progress to Section 1","Please complete training at RTSHSD.org"))</f>
        <v/>
      </c>
      <c r="K18" s="354"/>
      <c r="L18" s="354"/>
      <c r="M18" s="354"/>
      <c r="N18" s="354"/>
      <c r="O18" s="354"/>
      <c r="P18" s="354"/>
      <c r="Q18" s="354"/>
      <c r="R18" s="354"/>
      <c r="S18" s="355"/>
      <c r="T18" s="359"/>
    </row>
    <row r="19" spans="1:24" s="51" customFormat="1" ht="18" customHeight="1">
      <c r="A19" s="491" t="s">
        <v>31</v>
      </c>
      <c r="B19" s="29"/>
      <c r="C19" s="28"/>
      <c r="D19" s="24"/>
      <c r="E19" s="29"/>
      <c r="F19" s="180"/>
      <c r="G19" s="27"/>
      <c r="H19" s="26"/>
      <c r="I19" s="31"/>
      <c r="J19" s="360"/>
      <c r="K19" s="354"/>
      <c r="L19" s="354"/>
      <c r="M19" s="354"/>
      <c r="N19" s="354"/>
      <c r="O19" s="354"/>
      <c r="P19" s="354"/>
      <c r="Q19" s="354"/>
      <c r="R19" s="354"/>
      <c r="S19" s="355"/>
      <c r="T19" s="359"/>
    </row>
    <row r="20" spans="1:24" s="51" customFormat="1" ht="29.25" customHeight="1">
      <c r="A20" s="138" t="s">
        <v>32</v>
      </c>
      <c r="B20" s="118" t="s">
        <v>33</v>
      </c>
      <c r="C20" s="82" t="s">
        <v>22</v>
      </c>
      <c r="D20" s="552" t="str">
        <f>IF(C20="Select yes or no","",IF(C20="yes", "Continue to next question", "Stop. Must enter units in CES"))</f>
        <v/>
      </c>
      <c r="E20" s="553"/>
      <c r="F20" s="553"/>
      <c r="G20" s="262"/>
      <c r="H20" s="265"/>
      <c r="I20" s="31"/>
      <c r="J20" s="361"/>
      <c r="K20" s="356"/>
      <c r="L20" s="68"/>
      <c r="M20" s="354"/>
      <c r="N20" s="354"/>
      <c r="O20" s="354"/>
      <c r="P20" s="354"/>
      <c r="Q20" s="354"/>
      <c r="R20" s="354"/>
      <c r="S20" s="355"/>
      <c r="T20" s="359"/>
    </row>
    <row r="21" spans="1:24" s="51" customFormat="1" ht="29.25" customHeight="1">
      <c r="A21" s="318" t="s">
        <v>34</v>
      </c>
      <c r="B21" s="182" t="s">
        <v>35</v>
      </c>
      <c r="C21" s="418" t="s">
        <v>22</v>
      </c>
      <c r="D21" s="571" t="str">
        <f>IF(C21="SELECT YES OR NO","",IF((AND(C16="Yes",C21="Yes",C18="Yes",C20="Yes")),"Progress to Section 1","Stop. Do not complete scoring. Other action required."))</f>
        <v/>
      </c>
      <c r="E21" s="572"/>
      <c r="F21" s="572"/>
      <c r="G21" s="572"/>
      <c r="H21" s="573"/>
      <c r="I21" s="243" t="s">
        <v>36</v>
      </c>
      <c r="J21" s="357"/>
      <c r="K21" s="533"/>
      <c r="L21" s="68"/>
      <c r="M21" s="354"/>
      <c r="N21" s="354"/>
      <c r="O21" s="354"/>
      <c r="P21" s="354"/>
      <c r="Q21" s="354"/>
      <c r="R21" s="354"/>
      <c r="S21" s="355"/>
      <c r="T21" s="359"/>
    </row>
    <row r="22" spans="1:24" s="434" customFormat="1" ht="13.5" customHeight="1">
      <c r="A22" s="479" t="s">
        <v>36</v>
      </c>
      <c r="B22" s="423"/>
      <c r="C22" s="424"/>
      <c r="D22" s="425"/>
      <c r="E22" s="425"/>
      <c r="F22" s="425"/>
      <c r="G22" s="426"/>
      <c r="H22" s="427"/>
      <c r="I22" s="428"/>
      <c r="J22" s="429"/>
      <c r="K22" s="429"/>
      <c r="L22" s="430"/>
      <c r="M22" s="430"/>
      <c r="N22" s="430"/>
      <c r="O22" s="430"/>
      <c r="P22" s="430"/>
      <c r="Q22" s="430"/>
      <c r="R22" s="431"/>
      <c r="S22" s="432"/>
      <c r="T22" s="433"/>
    </row>
    <row r="23" spans="1:24" s="59" customFormat="1" ht="13.5" customHeight="1" thickBot="1">
      <c r="A23" s="57"/>
      <c r="B23" s="56"/>
      <c r="C23" s="55"/>
      <c r="D23" s="274"/>
      <c r="E23" s="274"/>
      <c r="F23" s="274"/>
      <c r="G23" s="54"/>
      <c r="H23" s="275"/>
      <c r="I23" s="345"/>
      <c r="J23" s="346"/>
      <c r="K23" s="346"/>
      <c r="L23" s="347"/>
      <c r="M23" s="347"/>
      <c r="N23" s="347"/>
      <c r="O23" s="347"/>
      <c r="P23" s="347"/>
      <c r="Q23" s="347"/>
      <c r="R23" s="348"/>
      <c r="S23" s="349"/>
      <c r="T23" s="350"/>
      <c r="U23" s="316"/>
    </row>
    <row r="24" spans="1:24" s="59" customFormat="1" ht="27" customHeight="1">
      <c r="A24" s="114" t="s">
        <v>37</v>
      </c>
      <c r="B24" s="61"/>
      <c r="C24" s="58" t="s">
        <v>38</v>
      </c>
      <c r="D24" s="555">
        <f>(D26+D37+D42+D50+D58+D66+D74+D80)</f>
        <v>0</v>
      </c>
      <c r="E24" s="556"/>
      <c r="F24" s="557"/>
      <c r="G24" s="58" t="s">
        <v>14</v>
      </c>
      <c r="H24" s="104">
        <f>SUM(H26,H37,H42,H50,H58,H66,H74,H80)</f>
        <v>93</v>
      </c>
      <c r="I24" s="345"/>
      <c r="J24" s="346"/>
      <c r="K24" s="346"/>
      <c r="L24" s="347"/>
      <c r="M24" s="347"/>
      <c r="N24" s="347"/>
      <c r="O24" s="347"/>
      <c r="P24" s="347"/>
      <c r="Q24" s="347"/>
      <c r="R24" s="348"/>
      <c r="S24" s="349"/>
      <c r="T24" s="351"/>
      <c r="U24" s="316"/>
    </row>
    <row r="25" spans="1:24" s="51" customFormat="1" ht="48.75" customHeight="1" thickTop="1">
      <c r="A25" s="514" t="s">
        <v>39</v>
      </c>
      <c r="B25" s="514" t="s">
        <v>40</v>
      </c>
      <c r="C25" s="514" t="s">
        <v>41</v>
      </c>
      <c r="D25" s="540" t="s">
        <v>42</v>
      </c>
      <c r="E25" s="540"/>
      <c r="F25" s="540"/>
      <c r="G25" s="514" t="s">
        <v>43</v>
      </c>
      <c r="H25" s="514" t="s">
        <v>44</v>
      </c>
      <c r="I25" s="352"/>
      <c r="J25" s="353" t="s">
        <v>45</v>
      </c>
      <c r="K25" s="362"/>
      <c r="L25" s="362"/>
      <c r="M25" s="362"/>
      <c r="N25" s="362"/>
      <c r="O25" s="362"/>
      <c r="P25" s="362"/>
      <c r="Q25" s="362"/>
      <c r="R25" s="354"/>
      <c r="S25" s="359"/>
      <c r="T25" s="355"/>
      <c r="U25" s="315"/>
    </row>
    <row r="26" spans="1:24" s="52" customFormat="1" ht="44.25" customHeight="1">
      <c r="A26" s="576" t="s">
        <v>46</v>
      </c>
      <c r="B26" s="577"/>
      <c r="C26" s="27" t="s">
        <v>47</v>
      </c>
      <c r="D26" s="24">
        <f>SUM(G27:G32)</f>
        <v>0</v>
      </c>
      <c r="E26" s="29"/>
      <c r="F26" s="29"/>
      <c r="G26" s="27" t="s">
        <v>14</v>
      </c>
      <c r="H26" s="26">
        <v>37</v>
      </c>
      <c r="I26" s="363"/>
      <c r="J26" s="364"/>
      <c r="K26" s="364"/>
      <c r="L26" s="365"/>
      <c r="M26" s="365"/>
      <c r="N26" s="365"/>
      <c r="O26" s="365"/>
      <c r="P26" s="365"/>
      <c r="Q26" s="365"/>
      <c r="R26" s="366"/>
      <c r="S26" s="367"/>
      <c r="T26" s="368"/>
      <c r="U26" s="326"/>
      <c r="V26" s="326"/>
      <c r="W26" s="326"/>
      <c r="X26" s="326"/>
    </row>
    <row r="27" spans="1:24" ht="27" customHeight="1">
      <c r="A27" s="122" t="s">
        <v>48</v>
      </c>
      <c r="B27" s="493" t="s">
        <v>49</v>
      </c>
      <c r="C27" s="250"/>
      <c r="D27" s="221">
        <v>0</v>
      </c>
      <c r="E27" s="217" t="s">
        <v>50</v>
      </c>
      <c r="F27" s="496">
        <v>0.69989999999999997</v>
      </c>
      <c r="G27" s="244" t="str">
        <f>IF(C33=0,"",IF($F$27&gt;($C$35),H27,""))</f>
        <v/>
      </c>
      <c r="H27" s="223">
        <v>0</v>
      </c>
      <c r="I27" s="369"/>
      <c r="J27" s="370" t="s">
        <v>51</v>
      </c>
      <c r="K27" s="533"/>
      <c r="L27" s="365"/>
      <c r="M27" s="533"/>
      <c r="N27" s="533"/>
      <c r="O27" s="533"/>
      <c r="P27" s="533"/>
      <c r="Q27" s="533"/>
      <c r="R27" s="336"/>
      <c r="U27" s="256"/>
      <c r="V27" s="105"/>
    </row>
    <row r="28" spans="1:24" ht="27" customHeight="1">
      <c r="A28" s="132" t="s">
        <v>52</v>
      </c>
      <c r="B28" s="122" t="s">
        <v>53</v>
      </c>
      <c r="C28" s="250"/>
      <c r="D28" s="221">
        <v>0.7</v>
      </c>
      <c r="E28" s="217" t="s">
        <v>54</v>
      </c>
      <c r="F28" s="497">
        <v>0.79990000000000006</v>
      </c>
      <c r="G28" s="239" t="str">
        <f>IF(C33=0,"",IF(OR(D28=$C$35,AND(D28&lt;$C$35, F28&gt;$C$35)),H28,""))</f>
        <v/>
      </c>
      <c r="H28" s="222">
        <f>H27+J$32</f>
        <v>7.4</v>
      </c>
      <c r="I28" s="371"/>
      <c r="J28" s="361" t="s">
        <v>36</v>
      </c>
      <c r="K28" s="533" t="s">
        <v>36</v>
      </c>
      <c r="L28" s="68"/>
      <c r="M28" s="68"/>
      <c r="N28" s="533"/>
      <c r="O28" s="533"/>
      <c r="P28" s="533"/>
      <c r="Q28" s="533"/>
      <c r="R28" s="336"/>
      <c r="U28" s="256"/>
    </row>
    <row r="29" spans="1:24" ht="27" customHeight="1">
      <c r="A29" s="122" t="s">
        <v>55</v>
      </c>
      <c r="B29" s="123" t="s">
        <v>56</v>
      </c>
      <c r="C29" s="250"/>
      <c r="D29" s="221">
        <v>0.8</v>
      </c>
      <c r="E29" s="217" t="s">
        <v>54</v>
      </c>
      <c r="F29" s="497">
        <v>0.8599</v>
      </c>
      <c r="G29" s="239" t="str">
        <f>IF(C33=0,"",IF(OR(D29=$C$35,AND(D29&lt;$C$35, F29&gt;$C$35)),H29,""))</f>
        <v/>
      </c>
      <c r="H29" s="222">
        <f>H28+J$32</f>
        <v>14.8</v>
      </c>
      <c r="I29" s="371"/>
      <c r="J29" s="372"/>
      <c r="K29" s="533" t="s">
        <v>57</v>
      </c>
      <c r="L29" s="68"/>
      <c r="M29" s="68"/>
      <c r="N29" s="533"/>
      <c r="O29" s="533"/>
      <c r="P29" s="533"/>
      <c r="Q29" s="533"/>
      <c r="R29" s="336"/>
      <c r="U29" s="256"/>
    </row>
    <row r="30" spans="1:24" ht="27" customHeight="1">
      <c r="A30" s="122" t="s">
        <v>58</v>
      </c>
      <c r="B30" s="122" t="s">
        <v>59</v>
      </c>
      <c r="C30" s="250"/>
      <c r="D30" s="221">
        <v>0.86</v>
      </c>
      <c r="E30" s="217" t="s">
        <v>54</v>
      </c>
      <c r="F30" s="497">
        <v>0.89990000000000003</v>
      </c>
      <c r="G30" s="239" t="str">
        <f>IF(C33=0,"",IF(OR(D30=$C$35,AND(D30&lt;$C$35, F30&gt;$C$35)),H30,""))</f>
        <v/>
      </c>
      <c r="H30" s="222">
        <f>H29+J$32</f>
        <v>22.200000000000003</v>
      </c>
      <c r="I30" s="371"/>
      <c r="J30" s="373"/>
      <c r="K30" s="356" t="s">
        <v>60</v>
      </c>
      <c r="L30" s="68"/>
      <c r="M30" s="68"/>
      <c r="N30" s="533"/>
      <c r="O30" s="533"/>
      <c r="P30" s="533"/>
      <c r="Q30" s="533"/>
      <c r="R30" s="336"/>
      <c r="U30" s="256"/>
    </row>
    <row r="31" spans="1:24" ht="27" customHeight="1">
      <c r="A31" s="122" t="s">
        <v>61</v>
      </c>
      <c r="B31" s="122" t="s">
        <v>62</v>
      </c>
      <c r="C31" s="250"/>
      <c r="D31" s="221">
        <v>0.9</v>
      </c>
      <c r="E31" s="217" t="s">
        <v>54</v>
      </c>
      <c r="F31" s="497">
        <v>0.94989999999999997</v>
      </c>
      <c r="G31" s="239" t="str">
        <f>IF(C33=0,"",IF(OR(D31=$C$35,AND(D31&lt;$C$35, F31&gt;$C$35)),H31,""))</f>
        <v/>
      </c>
      <c r="H31" s="222">
        <f>H30+J$32</f>
        <v>29.6</v>
      </c>
      <c r="I31" s="371"/>
      <c r="J31" s="357">
        <f>H26</f>
        <v>37</v>
      </c>
      <c r="K31" s="533" t="s">
        <v>63</v>
      </c>
      <c r="L31" s="68"/>
      <c r="M31" s="68"/>
      <c r="N31" s="533"/>
      <c r="O31" s="533"/>
      <c r="P31" s="533"/>
      <c r="Q31" s="533"/>
      <c r="R31" s="336"/>
      <c r="U31" s="256"/>
    </row>
    <row r="32" spans="1:24" ht="27" customHeight="1">
      <c r="A32" s="567" t="s">
        <v>64</v>
      </c>
      <c r="B32" s="567"/>
      <c r="C32" s="278">
        <f>IF(ISBLANK(C26),"",SUM(C28:C31))</f>
        <v>0</v>
      </c>
      <c r="D32" s="221">
        <v>0.95</v>
      </c>
      <c r="E32" s="217" t="s">
        <v>65</v>
      </c>
      <c r="F32" s="465" t="s">
        <v>66</v>
      </c>
      <c r="G32" s="239" t="str">
        <f>IF(COUNT(C35)=0,"",IF(OR(D32=C35,D32&lt;C35),H32,""))</f>
        <v/>
      </c>
      <c r="H32" s="222">
        <f>H31+J$32</f>
        <v>37</v>
      </c>
      <c r="I32" s="371"/>
      <c r="J32" s="357">
        <f>H26/5</f>
        <v>7.4</v>
      </c>
      <c r="K32" s="533" t="s">
        <v>67</v>
      </c>
      <c r="L32" s="68"/>
      <c r="M32" s="68"/>
      <c r="N32" s="533"/>
      <c r="O32" s="533"/>
      <c r="P32" s="533"/>
      <c r="Q32" s="533"/>
      <c r="R32" s="336"/>
      <c r="U32" s="255"/>
    </row>
    <row r="33" spans="1:22" ht="17.149999999999999" customHeight="1">
      <c r="A33" s="567" t="s">
        <v>68</v>
      </c>
      <c r="B33" s="567"/>
      <c r="C33" s="279">
        <f>IF(COUNT(C32)=0,"",(C27-C32))</f>
        <v>0</v>
      </c>
      <c r="D33" s="17"/>
      <c r="E33" s="17"/>
      <c r="F33" s="17"/>
      <c r="G33" s="525"/>
      <c r="H33" s="525"/>
      <c r="I33" s="68"/>
      <c r="J33" s="533"/>
      <c r="K33" s="533"/>
      <c r="L33" s="533"/>
      <c r="M33" s="533"/>
      <c r="N33" s="533"/>
      <c r="O33" s="533"/>
      <c r="P33" s="533"/>
      <c r="Q33" s="533"/>
      <c r="R33" s="336"/>
    </row>
    <row r="34" spans="1:22" ht="17.149999999999999" customHeight="1">
      <c r="A34" s="182" t="s">
        <v>69</v>
      </c>
      <c r="B34" s="182" t="s">
        <v>70</v>
      </c>
      <c r="C34" s="249"/>
      <c r="D34" s="17"/>
      <c r="E34" s="17"/>
      <c r="F34" s="17"/>
      <c r="G34" s="525"/>
      <c r="H34" s="490"/>
      <c r="I34" s="377"/>
      <c r="J34" s="533"/>
      <c r="K34" s="533"/>
      <c r="L34" s="533"/>
      <c r="M34" s="533"/>
      <c r="N34" s="533"/>
      <c r="O34" s="533"/>
      <c r="P34" s="356" t="s">
        <v>36</v>
      </c>
      <c r="Q34" s="533"/>
      <c r="R34" s="336"/>
      <c r="T34" s="368"/>
      <c r="U34" s="317"/>
      <c r="V34" s="317"/>
    </row>
    <row r="35" spans="1:22" ht="12.5">
      <c r="A35" s="567" t="s">
        <v>71</v>
      </c>
      <c r="B35" s="567"/>
      <c r="C35" s="487" t="str">
        <f>IF(ISBLANK(C34),"", C34/(C27-C32))</f>
        <v/>
      </c>
      <c r="D35" s="17"/>
      <c r="E35" s="17"/>
      <c r="F35" s="17"/>
      <c r="G35" s="525"/>
      <c r="H35" s="490"/>
      <c r="I35" s="377"/>
      <c r="J35" s="533"/>
      <c r="K35" s="533"/>
      <c r="L35" s="533"/>
      <c r="M35" s="533"/>
      <c r="N35" s="533"/>
      <c r="O35" s="533"/>
      <c r="P35" s="356" t="s">
        <v>36</v>
      </c>
      <c r="Q35" s="533"/>
      <c r="R35" s="336"/>
      <c r="T35" s="374"/>
    </row>
    <row r="36" spans="1:22">
      <c r="A36" s="229"/>
      <c r="B36" s="322"/>
      <c r="C36" s="192"/>
      <c r="D36" s="17"/>
      <c r="E36" s="17"/>
      <c r="F36" s="17"/>
      <c r="G36" s="525"/>
      <c r="H36" s="490"/>
      <c r="I36" s="377"/>
      <c r="J36" s="533"/>
      <c r="K36" s="533"/>
      <c r="L36" s="533"/>
      <c r="M36" s="533"/>
      <c r="N36" s="533"/>
      <c r="O36" s="533"/>
      <c r="P36" s="356" t="s">
        <v>36</v>
      </c>
      <c r="Q36" s="533"/>
      <c r="R36" s="336"/>
    </row>
    <row r="37" spans="1:22" s="52" customFormat="1" ht="67.5" customHeight="1">
      <c r="A37" s="576" t="s">
        <v>72</v>
      </c>
      <c r="B37" s="577"/>
      <c r="C37" s="27" t="s">
        <v>47</v>
      </c>
      <c r="D37" s="24">
        <f>IF(OR(SUM(C39:C40)=5,SUM(C39:C40)=10),H37,0)</f>
        <v>0</v>
      </c>
      <c r="E37" s="29"/>
      <c r="F37" s="29"/>
      <c r="G37" s="27" t="s">
        <v>14</v>
      </c>
      <c r="H37" s="26">
        <v>5</v>
      </c>
      <c r="I37" s="363"/>
      <c r="J37" s="375"/>
      <c r="K37" s="366"/>
      <c r="L37" s="365"/>
      <c r="M37" s="365"/>
      <c r="N37" s="365"/>
      <c r="O37" s="365"/>
      <c r="P37" s="365"/>
      <c r="Q37" s="365"/>
      <c r="R37" s="366"/>
      <c r="S37" s="376"/>
      <c r="T37" s="367"/>
    </row>
    <row r="38" spans="1:22" ht="14">
      <c r="A38" s="323" t="s">
        <v>73</v>
      </c>
      <c r="B38" s="321" t="s">
        <v>74</v>
      </c>
      <c r="C38" s="328"/>
      <c r="D38" s="17"/>
      <c r="E38" s="17"/>
      <c r="F38" s="17"/>
      <c r="G38" s="525"/>
      <c r="H38" s="324"/>
      <c r="I38" s="377"/>
      <c r="J38" s="378"/>
      <c r="K38" s="336"/>
      <c r="L38" s="533"/>
      <c r="M38" s="533"/>
      <c r="N38" s="533"/>
      <c r="O38" s="533"/>
      <c r="P38" s="356"/>
      <c r="Q38" s="533"/>
      <c r="R38" s="336"/>
      <c r="S38" s="376"/>
    </row>
    <row r="39" spans="1:22" ht="12.5">
      <c r="A39" s="238" t="s">
        <v>75</v>
      </c>
      <c r="B39" s="520" t="s">
        <v>76</v>
      </c>
      <c r="C39" s="329" t="str">
        <f>IF(ISBLANK(C38),"",IF(AND(C35&gt;C38,C35-C38&gt;=0.1),5,0))</f>
        <v/>
      </c>
      <c r="D39" s="578" t="str">
        <f>IF(SUM(C39:C40)=10,"Even with both criteria met, max points possible are 5.","")</f>
        <v/>
      </c>
      <c r="E39" s="579"/>
      <c r="F39" s="579"/>
      <c r="G39" s="579"/>
      <c r="H39" s="579"/>
      <c r="I39" s="377"/>
      <c r="J39" s="533"/>
      <c r="K39" s="336"/>
      <c r="L39" s="533"/>
      <c r="M39" s="533"/>
      <c r="N39" s="533"/>
      <c r="O39" s="533"/>
      <c r="P39" s="356"/>
      <c r="Q39" s="533"/>
      <c r="R39" s="336"/>
      <c r="S39" s="380"/>
    </row>
    <row r="40" spans="1:22" ht="12.5">
      <c r="A40" s="238" t="s">
        <v>77</v>
      </c>
      <c r="B40" s="238" t="s">
        <v>76</v>
      </c>
      <c r="C40" s="331" t="str">
        <f>IF(ISBLANK(C38),"",IF(AND(C35&gt;=0.9,(C38&gt;=0.9)),5,0))</f>
        <v/>
      </c>
      <c r="D40" s="578"/>
      <c r="E40" s="579"/>
      <c r="F40" s="579"/>
      <c r="G40" s="579"/>
      <c r="H40" s="579"/>
      <c r="I40" s="377"/>
      <c r="J40" s="533"/>
      <c r="K40" s="533"/>
      <c r="L40" s="533"/>
      <c r="M40" s="533"/>
      <c r="N40" s="533"/>
      <c r="O40" s="533"/>
      <c r="P40" s="356"/>
      <c r="Q40" s="533"/>
      <c r="R40" s="336"/>
      <c r="S40" s="380"/>
    </row>
    <row r="41" spans="1:22" ht="14">
      <c r="A41" s="321"/>
      <c r="B41" s="321"/>
      <c r="C41" s="325"/>
      <c r="D41" s="17"/>
      <c r="E41" s="17"/>
      <c r="F41" s="17"/>
      <c r="G41" s="525"/>
      <c r="H41" s="324"/>
      <c r="I41" s="377"/>
      <c r="J41" s="533"/>
      <c r="K41" s="533"/>
      <c r="L41" s="533"/>
      <c r="M41" s="533"/>
      <c r="N41" s="533"/>
      <c r="O41" s="533"/>
      <c r="P41" s="356"/>
      <c r="Q41" s="533"/>
      <c r="R41" s="336"/>
      <c r="S41" s="379"/>
    </row>
    <row r="42" spans="1:22" s="7" customFormat="1" ht="14">
      <c r="A42" s="227" t="s">
        <v>78</v>
      </c>
      <c r="B42" s="228"/>
      <c r="C42" s="28" t="s">
        <v>47</v>
      </c>
      <c r="D42" s="524">
        <f>SUM(G43:G48)</f>
        <v>0</v>
      </c>
      <c r="E42" s="29"/>
      <c r="F42" s="29"/>
      <c r="G42" s="27" t="s">
        <v>14</v>
      </c>
      <c r="H42" s="26">
        <v>15</v>
      </c>
      <c r="I42" s="381"/>
      <c r="J42" s="533"/>
      <c r="K42" s="533"/>
      <c r="L42" s="533"/>
      <c r="M42" s="533"/>
      <c r="N42" s="533"/>
      <c r="O42" s="533"/>
      <c r="P42" s="533"/>
      <c r="Q42" s="533"/>
      <c r="R42" s="336"/>
      <c r="S42" s="339"/>
      <c r="T42" s="339"/>
    </row>
    <row r="43" spans="1:22" ht="12.75" customHeight="1">
      <c r="A43" s="568" t="s">
        <v>79</v>
      </c>
      <c r="B43" s="568" t="s">
        <v>80</v>
      </c>
      <c r="C43" s="574"/>
      <c r="D43" s="221">
        <v>0</v>
      </c>
      <c r="E43" s="217" t="s">
        <v>81</v>
      </c>
      <c r="F43" s="522">
        <f>J45</f>
        <v>0.4</v>
      </c>
      <c r="G43" s="239" t="str">
        <f>IF(ISBLANK(C43),"",IF(F43&gt;C43,H43,""))</f>
        <v/>
      </c>
      <c r="H43" s="222">
        <v>0</v>
      </c>
      <c r="I43" s="371"/>
      <c r="J43" s="533"/>
      <c r="K43" s="533"/>
      <c r="L43" s="533"/>
      <c r="M43" s="533"/>
      <c r="N43" s="533"/>
      <c r="O43" s="533"/>
      <c r="P43" s="533"/>
      <c r="Q43" s="533"/>
      <c r="R43" s="336"/>
    </row>
    <row r="44" spans="1:22" ht="12.75" customHeight="1">
      <c r="A44" s="568"/>
      <c r="B44" s="568"/>
      <c r="C44" s="575"/>
      <c r="D44" s="221">
        <f>F43</f>
        <v>0.4</v>
      </c>
      <c r="E44" s="217" t="s">
        <v>54</v>
      </c>
      <c r="F44" s="522">
        <f>D44+$J$46</f>
        <v>0.52</v>
      </c>
      <c r="G44" s="239" t="str">
        <f>IF(OR(D44=$C$43,AND(D44&lt;$C$43, F44&gt;$C$43)),H44,"")</f>
        <v/>
      </c>
      <c r="H44" s="222">
        <f>H43+J$48</f>
        <v>3</v>
      </c>
      <c r="I44" s="371"/>
      <c r="J44" s="361">
        <v>0.8</v>
      </c>
      <c r="K44" s="533" t="s">
        <v>82</v>
      </c>
      <c r="L44" s="68"/>
      <c r="M44" s="68"/>
      <c r="N44" s="533"/>
      <c r="O44" s="533"/>
      <c r="P44" s="533"/>
      <c r="Q44" s="533"/>
      <c r="R44" s="336"/>
    </row>
    <row r="45" spans="1:22">
      <c r="A45" s="42"/>
      <c r="B45" s="40"/>
      <c r="C45" s="48"/>
      <c r="D45" s="221">
        <f t="shared" ref="D45:D48" si="0">F44</f>
        <v>0.52</v>
      </c>
      <c r="E45" s="217" t="s">
        <v>54</v>
      </c>
      <c r="F45" s="522">
        <f t="shared" ref="F45:F47" si="1">D45+$J$46</f>
        <v>0.64</v>
      </c>
      <c r="G45" s="239" t="str">
        <f>IF(OR(D45=$C$43,AND(D45&lt;$C$43, F45&gt;$C$43)),H45,"")</f>
        <v/>
      </c>
      <c r="H45" s="222">
        <f>H44+J$48</f>
        <v>6</v>
      </c>
      <c r="I45" s="371"/>
      <c r="J45" s="373">
        <f>0.5*J44</f>
        <v>0.4</v>
      </c>
      <c r="K45" s="533" t="s">
        <v>83</v>
      </c>
      <c r="L45" s="68"/>
      <c r="M45" s="68"/>
      <c r="N45" s="533"/>
      <c r="O45" s="533"/>
      <c r="P45" s="533"/>
      <c r="Q45" s="533"/>
      <c r="R45" s="336"/>
    </row>
    <row r="46" spans="1:22">
      <c r="A46" s="64"/>
      <c r="B46" s="43"/>
      <c r="C46" s="48"/>
      <c r="D46" s="221">
        <f t="shared" si="0"/>
        <v>0.64</v>
      </c>
      <c r="E46" s="217" t="s">
        <v>54</v>
      </c>
      <c r="F46" s="522">
        <f t="shared" si="1"/>
        <v>0.76</v>
      </c>
      <c r="G46" s="239" t="str">
        <f>IF(OR(D46=$C$43,AND(D46&lt;$C$43, F46&gt;$C$43)),H46,"")</f>
        <v/>
      </c>
      <c r="H46" s="222">
        <f>H45+J$48</f>
        <v>9</v>
      </c>
      <c r="I46" s="371"/>
      <c r="J46" s="373">
        <f>(1-J45)/5</f>
        <v>0.12</v>
      </c>
      <c r="K46" s="533" t="s">
        <v>84</v>
      </c>
      <c r="L46" s="68"/>
      <c r="M46" s="68"/>
      <c r="N46" s="533"/>
      <c r="O46" s="533"/>
      <c r="P46" s="533"/>
      <c r="Q46" s="533"/>
      <c r="R46" s="336"/>
    </row>
    <row r="47" spans="1:22">
      <c r="A47" s="64"/>
      <c r="B47" s="43"/>
      <c r="C47" s="44"/>
      <c r="D47" s="221">
        <f t="shared" si="0"/>
        <v>0.76</v>
      </c>
      <c r="E47" s="217" t="s">
        <v>54</v>
      </c>
      <c r="F47" s="522">
        <f t="shared" si="1"/>
        <v>0.88</v>
      </c>
      <c r="G47" s="239" t="str">
        <f>IF(OR(D47=$C$43,AND(D47&lt;$C$43, F47&gt;$C$43)),H47,"")</f>
        <v/>
      </c>
      <c r="H47" s="222">
        <f>H46+J$48</f>
        <v>12</v>
      </c>
      <c r="I47" s="371"/>
      <c r="J47" s="357">
        <f>H42</f>
        <v>15</v>
      </c>
      <c r="K47" s="533" t="s">
        <v>63</v>
      </c>
      <c r="L47" s="68"/>
      <c r="M47" s="68"/>
      <c r="N47" s="533"/>
      <c r="O47" s="533"/>
      <c r="P47" s="533"/>
      <c r="Q47" s="533"/>
      <c r="R47" s="336"/>
    </row>
    <row r="48" spans="1:22">
      <c r="A48" s="64"/>
      <c r="B48" s="43"/>
      <c r="C48" s="44"/>
      <c r="D48" s="221">
        <f t="shared" si="0"/>
        <v>0.88</v>
      </c>
      <c r="E48" s="217" t="s">
        <v>85</v>
      </c>
      <c r="F48" s="465" t="s">
        <v>66</v>
      </c>
      <c r="G48" s="239" t="str">
        <f>IF(OR(D48=C43,D48&lt;C43),H48,"")</f>
        <v/>
      </c>
      <c r="H48" s="222">
        <f>H47+J$48</f>
        <v>15</v>
      </c>
      <c r="I48" s="371"/>
      <c r="J48" s="382">
        <f>J47/5</f>
        <v>3</v>
      </c>
      <c r="K48" s="533" t="s">
        <v>67</v>
      </c>
      <c r="L48" s="68"/>
      <c r="M48" s="68"/>
      <c r="N48" s="533"/>
      <c r="O48" s="533"/>
      <c r="P48" s="533"/>
      <c r="Q48" s="533"/>
      <c r="R48" s="336"/>
    </row>
    <row r="49" spans="1:20">
      <c r="A49" s="64"/>
      <c r="B49" s="43"/>
      <c r="C49" s="517"/>
      <c r="D49" s="466"/>
      <c r="E49" s="39"/>
      <c r="F49" s="38"/>
      <c r="G49" s="68"/>
      <c r="H49" s="49"/>
      <c r="I49" s="371"/>
      <c r="J49" s="382"/>
      <c r="K49" s="533"/>
      <c r="L49" s="68"/>
      <c r="M49" s="68"/>
      <c r="N49" s="533"/>
      <c r="O49" s="533"/>
      <c r="P49" s="533"/>
      <c r="Q49" s="533"/>
      <c r="R49" s="336"/>
    </row>
    <row r="50" spans="1:20" s="7" customFormat="1" ht="18" customHeight="1">
      <c r="A50" s="30" t="s">
        <v>86</v>
      </c>
      <c r="B50" s="29"/>
      <c r="C50" s="28" t="s">
        <v>47</v>
      </c>
      <c r="D50" s="24">
        <f>SUM(G51:G56)</f>
        <v>0</v>
      </c>
      <c r="E50" s="475"/>
      <c r="F50" s="475"/>
      <c r="G50" s="27" t="s">
        <v>14</v>
      </c>
      <c r="H50" s="26">
        <v>5</v>
      </c>
      <c r="I50" s="381"/>
      <c r="J50" s="533"/>
      <c r="K50" s="533"/>
      <c r="L50" s="533"/>
      <c r="M50" s="533"/>
      <c r="N50" s="533"/>
      <c r="O50" s="533"/>
      <c r="P50" s="533"/>
      <c r="Q50" s="533"/>
      <c r="R50" s="336"/>
      <c r="S50" s="339"/>
      <c r="T50" s="339"/>
    </row>
    <row r="51" spans="1:20" ht="15.75" customHeight="1">
      <c r="A51" s="568" t="s">
        <v>87</v>
      </c>
      <c r="B51" s="568" t="s">
        <v>88</v>
      </c>
      <c r="C51" s="603"/>
      <c r="D51" s="221">
        <v>0</v>
      </c>
      <c r="E51" s="217" t="s">
        <v>89</v>
      </c>
      <c r="F51" s="522">
        <f>D51+J54</f>
        <v>0.12</v>
      </c>
      <c r="G51" s="239" t="str">
        <f>IF(ISBLANK(C51),"",IF(F51&gt;C51,H51,""))</f>
        <v/>
      </c>
      <c r="H51" s="222">
        <v>0</v>
      </c>
      <c r="I51" s="371"/>
      <c r="J51" s="533"/>
      <c r="K51" s="533"/>
      <c r="L51" s="533"/>
      <c r="M51" s="533"/>
      <c r="N51" s="533"/>
      <c r="O51" s="533"/>
      <c r="P51" s="533"/>
      <c r="Q51" s="533"/>
      <c r="R51" s="336"/>
    </row>
    <row r="52" spans="1:20" ht="15.75" customHeight="1">
      <c r="A52" s="568"/>
      <c r="B52" s="568"/>
      <c r="C52" s="604"/>
      <c r="D52" s="221">
        <f>F51</f>
        <v>0.12</v>
      </c>
      <c r="E52" s="217" t="s">
        <v>54</v>
      </c>
      <c r="F52" s="522">
        <f>D52+$J$54</f>
        <v>0.24</v>
      </c>
      <c r="G52" s="239" t="str">
        <f>IF(OR(D52=$C$51,AND(D52&lt;$C$51, F52&gt;$C$51)),H52,"")</f>
        <v/>
      </c>
      <c r="H52" s="222">
        <f>H51+J$56</f>
        <v>1</v>
      </c>
      <c r="I52" s="371"/>
      <c r="J52" s="361" t="s">
        <v>36</v>
      </c>
      <c r="K52" s="533" t="s">
        <v>36</v>
      </c>
      <c r="L52" s="68"/>
      <c r="M52" s="68"/>
      <c r="N52" s="533"/>
      <c r="O52" s="533"/>
      <c r="P52" s="533"/>
      <c r="Q52" s="533"/>
      <c r="R52" s="336"/>
    </row>
    <row r="53" spans="1:20" ht="12.5">
      <c r="A53" s="33"/>
      <c r="B53" s="43"/>
      <c r="C53" s="37"/>
      <c r="D53" s="221">
        <f t="shared" ref="D53:D55" si="2">F52</f>
        <v>0.24</v>
      </c>
      <c r="E53" s="217" t="s">
        <v>54</v>
      </c>
      <c r="F53" s="522">
        <f>D53+$J$54</f>
        <v>0.36</v>
      </c>
      <c r="G53" s="239" t="str">
        <f t="shared" ref="G53:G55" si="3">IF(OR(D53=$C$51,AND(D53&lt;$C$51, F53&gt;$C$51)),H53,"")</f>
        <v/>
      </c>
      <c r="H53" s="222">
        <f>H52+J$56</f>
        <v>2</v>
      </c>
      <c r="I53" s="371"/>
      <c r="J53" s="373">
        <v>0.6</v>
      </c>
      <c r="K53" s="356" t="s">
        <v>90</v>
      </c>
      <c r="L53" s="68"/>
      <c r="M53" s="68"/>
      <c r="N53" s="533"/>
      <c r="O53" s="533"/>
      <c r="P53" s="533"/>
      <c r="Q53" s="533"/>
      <c r="R53" s="336"/>
    </row>
    <row r="54" spans="1:20" s="7" customFormat="1" ht="14.15" customHeight="1">
      <c r="A54" s="16"/>
      <c r="B54" s="19" t="s">
        <v>36</v>
      </c>
      <c r="C54" s="37"/>
      <c r="D54" s="221">
        <f t="shared" si="2"/>
        <v>0.36</v>
      </c>
      <c r="E54" s="217" t="s">
        <v>54</v>
      </c>
      <c r="F54" s="522">
        <f t="shared" ref="F54:F55" si="4">D54+$J$54</f>
        <v>0.48</v>
      </c>
      <c r="G54" s="239" t="str">
        <f t="shared" si="3"/>
        <v/>
      </c>
      <c r="H54" s="222">
        <f>H53+J$56</f>
        <v>3</v>
      </c>
      <c r="I54" s="371"/>
      <c r="J54" s="373">
        <v>0.12</v>
      </c>
      <c r="K54" s="356" t="s">
        <v>60</v>
      </c>
      <c r="L54" s="68"/>
      <c r="M54" s="68"/>
      <c r="N54" s="533"/>
      <c r="O54" s="533"/>
      <c r="P54" s="533"/>
      <c r="Q54" s="533"/>
      <c r="R54" s="336"/>
      <c r="S54" s="339"/>
      <c r="T54" s="339"/>
    </row>
    <row r="55" spans="1:20" s="7" customFormat="1" ht="14.9" customHeight="1">
      <c r="A55" s="64"/>
      <c r="B55" s="32" t="s">
        <v>36</v>
      </c>
      <c r="C55" s="36" t="s">
        <v>36</v>
      </c>
      <c r="D55" s="221">
        <f t="shared" si="2"/>
        <v>0.48</v>
      </c>
      <c r="E55" s="217" t="s">
        <v>54</v>
      </c>
      <c r="F55" s="522">
        <f t="shared" si="4"/>
        <v>0.6</v>
      </c>
      <c r="G55" s="239" t="str">
        <f t="shared" si="3"/>
        <v/>
      </c>
      <c r="H55" s="222">
        <f>ROUNDDOWN(H54+J$56,0)</f>
        <v>4</v>
      </c>
      <c r="I55" s="371"/>
      <c r="J55" s="357">
        <f>H50</f>
        <v>5</v>
      </c>
      <c r="K55" s="533" t="s">
        <v>63</v>
      </c>
      <c r="L55" s="68"/>
      <c r="M55" s="68"/>
      <c r="N55" s="533"/>
      <c r="O55" s="533"/>
      <c r="P55" s="533"/>
      <c r="Q55" s="533"/>
      <c r="R55" s="336"/>
      <c r="S55" s="339"/>
      <c r="T55" s="339"/>
    </row>
    <row r="56" spans="1:20">
      <c r="A56" s="64"/>
      <c r="B56" s="32" t="s">
        <v>36</v>
      </c>
      <c r="C56" s="35" t="s">
        <v>36</v>
      </c>
      <c r="D56" s="221">
        <f>J53</f>
        <v>0.6</v>
      </c>
      <c r="E56" s="217" t="s">
        <v>91</v>
      </c>
      <c r="F56" s="465" t="s">
        <v>66</v>
      </c>
      <c r="G56" s="239" t="str">
        <f>IF(OR(D56=$C$51,D56&lt;$C$51),H56,"")</f>
        <v/>
      </c>
      <c r="H56" s="222">
        <f>ROUNDDOWN(H55+J$56,0)</f>
        <v>5</v>
      </c>
      <c r="I56" s="371"/>
      <c r="J56" s="357">
        <f>H50/5</f>
        <v>1</v>
      </c>
      <c r="K56" s="533" t="s">
        <v>67</v>
      </c>
      <c r="L56" s="68"/>
      <c r="M56" s="68"/>
      <c r="N56" s="533"/>
      <c r="O56" s="533"/>
      <c r="P56" s="533"/>
      <c r="Q56" s="533"/>
      <c r="R56" s="336"/>
    </row>
    <row r="57" spans="1:20" ht="13" customHeight="1">
      <c r="A57" s="42"/>
      <c r="B57" s="62"/>
      <c r="C57" s="48"/>
      <c r="D57" s="467"/>
      <c r="E57" s="467"/>
      <c r="F57" s="467"/>
      <c r="G57" s="31"/>
      <c r="H57" s="48"/>
      <c r="I57" s="31"/>
      <c r="J57" s="533"/>
      <c r="K57" s="533"/>
      <c r="L57" s="533"/>
      <c r="M57" s="533"/>
      <c r="N57" s="533"/>
      <c r="O57" s="533"/>
      <c r="P57" s="533"/>
      <c r="Q57" s="533"/>
      <c r="R57" s="336"/>
    </row>
    <row r="58" spans="1:20" s="7" customFormat="1" ht="18" customHeight="1">
      <c r="A58" s="30" t="s">
        <v>92</v>
      </c>
      <c r="B58" s="29"/>
      <c r="C58" s="28" t="s">
        <v>47</v>
      </c>
      <c r="D58" s="24">
        <f>SUM(G59:G64)</f>
        <v>0</v>
      </c>
      <c r="E58" s="475"/>
      <c r="F58" s="475"/>
      <c r="G58" s="27" t="s">
        <v>14</v>
      </c>
      <c r="H58" s="26">
        <v>10</v>
      </c>
      <c r="I58" s="381"/>
      <c r="J58" s="533"/>
      <c r="K58" s="533"/>
      <c r="L58" s="533"/>
      <c r="M58" s="533"/>
      <c r="N58" s="533"/>
      <c r="O58" s="533"/>
      <c r="P58" s="533"/>
      <c r="Q58" s="533"/>
      <c r="R58" s="336"/>
      <c r="S58" s="339"/>
      <c r="T58" s="339"/>
    </row>
    <row r="59" spans="1:20" ht="13.4" customHeight="1">
      <c r="A59" s="122" t="s">
        <v>93</v>
      </c>
      <c r="B59" s="123" t="s">
        <v>94</v>
      </c>
      <c r="C59" s="241"/>
      <c r="D59" s="221">
        <v>0</v>
      </c>
      <c r="E59" s="217" t="s">
        <v>50</v>
      </c>
      <c r="F59" s="522">
        <f>J61</f>
        <v>0.2</v>
      </c>
      <c r="G59" s="239" t="str">
        <f>IF(F59&gt;C63,H59,"")</f>
        <v/>
      </c>
      <c r="H59" s="222">
        <v>0</v>
      </c>
      <c r="I59" s="369"/>
      <c r="J59" s="533"/>
      <c r="K59" s="533"/>
      <c r="L59" s="533"/>
      <c r="M59" s="533"/>
      <c r="N59" s="533"/>
      <c r="O59" s="533"/>
      <c r="P59" s="533"/>
      <c r="Q59" s="533"/>
      <c r="R59" s="336"/>
    </row>
    <row r="60" spans="1:20" ht="12.5">
      <c r="A60" s="520" t="s">
        <v>95</v>
      </c>
      <c r="B60" s="122" t="s">
        <v>96</v>
      </c>
      <c r="C60" s="241"/>
      <c r="D60" s="221">
        <f>F59</f>
        <v>0.2</v>
      </c>
      <c r="E60" s="217" t="s">
        <v>54</v>
      </c>
      <c r="F60" s="522">
        <f>D60+$J$62</f>
        <v>0.36</v>
      </c>
      <c r="G60" s="239" t="str">
        <f>IF(OR(D60=$C$63,AND(D60&lt;$C$63, F60&gt;$C$63)),H60,"")</f>
        <v/>
      </c>
      <c r="H60" s="222">
        <f>J$64+H59</f>
        <v>2</v>
      </c>
      <c r="I60" s="371"/>
      <c r="J60" s="361">
        <v>0.4</v>
      </c>
      <c r="K60" s="533" t="s">
        <v>97</v>
      </c>
      <c r="L60" s="68"/>
      <c r="M60" s="68"/>
      <c r="N60" s="533"/>
      <c r="O60" s="533"/>
      <c r="P60" s="533"/>
      <c r="Q60" s="533"/>
      <c r="R60" s="336"/>
    </row>
    <row r="61" spans="1:20" ht="13.4" customHeight="1">
      <c r="A61" s="520" t="s">
        <v>98</v>
      </c>
      <c r="B61" s="191" t="s">
        <v>99</v>
      </c>
      <c r="C61" s="245" t="str">
        <f>IF(ISBLANK(C60),"",SUM(C59:C60))</f>
        <v/>
      </c>
      <c r="D61" s="221">
        <f>F60</f>
        <v>0.36</v>
      </c>
      <c r="E61" s="217" t="s">
        <v>54</v>
      </c>
      <c r="F61" s="522">
        <f t="shared" ref="F61:F63" si="5">D61+$J$62</f>
        <v>0.52</v>
      </c>
      <c r="G61" s="239" t="str">
        <f t="shared" ref="G61:G62" si="6">IF(OR(D61=$C$63,AND(D61&lt;$C$63, F61&gt;$C$63)),H61,"")</f>
        <v/>
      </c>
      <c r="H61" s="222">
        <f>J$64+H60</f>
        <v>4</v>
      </c>
      <c r="I61" s="371"/>
      <c r="J61" s="373">
        <f>0.5*J60</f>
        <v>0.2</v>
      </c>
      <c r="K61" s="533" t="s">
        <v>83</v>
      </c>
      <c r="L61" s="68"/>
      <c r="M61" s="68"/>
      <c r="N61" s="533"/>
      <c r="O61" s="533"/>
      <c r="P61" s="533"/>
      <c r="Q61" s="533"/>
      <c r="R61" s="336"/>
    </row>
    <row r="62" spans="1:20" ht="12.5">
      <c r="A62" s="182" t="s">
        <v>100</v>
      </c>
      <c r="B62" s="122" t="s">
        <v>101</v>
      </c>
      <c r="C62" s="240" t="str">
        <f>IF(ISBLANK(H5),"",H5)</f>
        <v/>
      </c>
      <c r="D62" s="221">
        <f t="shared" ref="D62:D63" si="7">F61</f>
        <v>0.52</v>
      </c>
      <c r="E62" s="217" t="s">
        <v>54</v>
      </c>
      <c r="F62" s="522">
        <f t="shared" si="5"/>
        <v>0.68</v>
      </c>
      <c r="G62" s="239" t="str">
        <f t="shared" si="6"/>
        <v/>
      </c>
      <c r="H62" s="222">
        <f>J$64+H61</f>
        <v>6</v>
      </c>
      <c r="I62" s="371"/>
      <c r="J62" s="373">
        <f>(1-J61)/5</f>
        <v>0.16</v>
      </c>
      <c r="K62" s="533" t="s">
        <v>84</v>
      </c>
      <c r="L62" s="68"/>
      <c r="M62" s="68"/>
      <c r="N62" s="533"/>
      <c r="O62" s="533"/>
      <c r="P62" s="533"/>
      <c r="Q62" s="533"/>
      <c r="R62" s="336"/>
    </row>
    <row r="63" spans="1:20" ht="14.15" customHeight="1">
      <c r="A63" s="182" t="s">
        <v>102</v>
      </c>
      <c r="B63" s="191" t="s">
        <v>99</v>
      </c>
      <c r="C63" s="236" t="str">
        <f>IF(COUNT(C61)=0,"",C61/C62)</f>
        <v/>
      </c>
      <c r="D63" s="221">
        <f t="shared" si="7"/>
        <v>0.68</v>
      </c>
      <c r="E63" s="217" t="s">
        <v>54</v>
      </c>
      <c r="F63" s="522">
        <f t="shared" si="5"/>
        <v>0.84000000000000008</v>
      </c>
      <c r="G63" s="239" t="str">
        <f>IF(OR(D63=$C$63,AND(D63&lt;$C$63, F63&gt;$C$63)),H63,"")</f>
        <v/>
      </c>
      <c r="H63" s="222">
        <f>J$64+H62</f>
        <v>8</v>
      </c>
      <c r="I63" s="371"/>
      <c r="J63" s="357">
        <f>H58</f>
        <v>10</v>
      </c>
      <c r="K63" s="533" t="s">
        <v>63</v>
      </c>
      <c r="L63" s="68"/>
      <c r="M63" s="68"/>
      <c r="N63" s="533"/>
      <c r="O63" s="533"/>
      <c r="P63" s="533"/>
      <c r="Q63" s="533"/>
      <c r="R63" s="336"/>
    </row>
    <row r="64" spans="1:20" ht="12" customHeight="1">
      <c r="A64" s="229"/>
      <c r="B64" s="229"/>
      <c r="C64" s="215"/>
      <c r="D64" s="221">
        <f>F63</f>
        <v>0.84000000000000008</v>
      </c>
      <c r="E64" s="217" t="s">
        <v>85</v>
      </c>
      <c r="F64" s="465" t="s">
        <v>66</v>
      </c>
      <c r="G64" s="239" t="str">
        <f>IF(C63="","",IF(OR(D64=$C$63,D64&lt;$C$63),H64,""))</f>
        <v/>
      </c>
      <c r="H64" s="222">
        <f>J$64+H63</f>
        <v>10</v>
      </c>
      <c r="I64" s="371"/>
      <c r="J64" s="357">
        <f>J63/5</f>
        <v>2</v>
      </c>
      <c r="K64" s="533" t="s">
        <v>67</v>
      </c>
      <c r="L64" s="68"/>
      <c r="M64" s="68"/>
      <c r="N64" s="533"/>
      <c r="O64" s="533"/>
      <c r="P64" s="533"/>
      <c r="Q64" s="533"/>
      <c r="R64" s="336"/>
    </row>
    <row r="65" spans="1:20" ht="12" customHeight="1">
      <c r="A65" s="614"/>
      <c r="B65" s="614"/>
      <c r="C65" s="193"/>
      <c r="D65" s="468" t="s">
        <v>36</v>
      </c>
      <c r="E65" s="469"/>
      <c r="F65" s="469"/>
      <c r="G65" s="25" t="s">
        <v>36</v>
      </c>
      <c r="H65" s="48"/>
      <c r="I65" s="31"/>
      <c r="J65" s="533"/>
      <c r="K65" s="533"/>
      <c r="L65" s="533"/>
      <c r="M65" s="533"/>
      <c r="N65" s="533"/>
      <c r="O65" s="533"/>
      <c r="P65" s="533"/>
      <c r="Q65" s="533"/>
      <c r="R65" s="336"/>
    </row>
    <row r="66" spans="1:20" ht="18" customHeight="1">
      <c r="A66" s="30" t="s">
        <v>103</v>
      </c>
      <c r="B66" s="29"/>
      <c r="C66" s="28" t="s">
        <v>47</v>
      </c>
      <c r="D66" s="524">
        <f>SUM(G67:G72)</f>
        <v>0</v>
      </c>
      <c r="E66" s="29"/>
      <c r="F66" s="29"/>
      <c r="G66" s="27" t="s">
        <v>14</v>
      </c>
      <c r="H66" s="144">
        <v>10</v>
      </c>
      <c r="I66" s="31"/>
      <c r="J66" s="336"/>
      <c r="K66" s="336"/>
      <c r="L66" s="336"/>
      <c r="M66" s="68"/>
      <c r="N66" s="533"/>
      <c r="O66" s="533"/>
      <c r="P66" s="533"/>
      <c r="Q66" s="533"/>
      <c r="R66" s="336"/>
    </row>
    <row r="67" spans="1:20" ht="27" customHeight="1">
      <c r="A67" s="527" t="s">
        <v>104</v>
      </c>
      <c r="B67" s="521" t="s">
        <v>105</v>
      </c>
      <c r="C67" s="330"/>
      <c r="D67" s="221">
        <v>0</v>
      </c>
      <c r="E67" s="217" t="s">
        <v>106</v>
      </c>
      <c r="F67" s="522">
        <f>J68</f>
        <v>0.2</v>
      </c>
      <c r="G67" s="239" t="str">
        <f>IF(F67&gt;C69,H67,"")</f>
        <v/>
      </c>
      <c r="H67" s="222">
        <v>0</v>
      </c>
      <c r="I67" s="31"/>
      <c r="J67" s="383">
        <v>0.4</v>
      </c>
      <c r="K67" s="533" t="s">
        <v>107</v>
      </c>
      <c r="L67" s="68"/>
      <c r="M67" s="68"/>
      <c r="N67" s="533"/>
      <c r="O67" s="533"/>
      <c r="P67" s="533"/>
      <c r="Q67" s="533"/>
      <c r="R67" s="336"/>
    </row>
    <row r="68" spans="1:20" ht="12" customHeight="1">
      <c r="A68" s="238" t="s">
        <v>108</v>
      </c>
      <c r="B68" s="238" t="s">
        <v>109</v>
      </c>
      <c r="C68" s="139" t="str">
        <f>IF(ISBLANK(H5),"",H5)</f>
        <v/>
      </c>
      <c r="D68" s="221">
        <f>F67</f>
        <v>0.2</v>
      </c>
      <c r="E68" s="217" t="s">
        <v>54</v>
      </c>
      <c r="F68" s="522">
        <f>D68+$J$69</f>
        <v>0.36</v>
      </c>
      <c r="G68" s="239" t="str">
        <f>IF(OR(D68=$C$69,AND(D68&lt;$C$69, F68&gt;$C$69)),H68,"")</f>
        <v/>
      </c>
      <c r="H68" s="222">
        <f>J$64+H67</f>
        <v>2</v>
      </c>
      <c r="I68" s="31"/>
      <c r="J68" s="373">
        <f>0.5*J67</f>
        <v>0.2</v>
      </c>
      <c r="K68" s="533" t="s">
        <v>83</v>
      </c>
      <c r="L68" s="68"/>
      <c r="M68" s="68"/>
      <c r="N68" s="533"/>
      <c r="O68" s="533"/>
      <c r="P68" s="533"/>
      <c r="Q68" s="533"/>
      <c r="R68" s="336"/>
    </row>
    <row r="69" spans="1:20" ht="12" customHeight="1">
      <c r="A69" s="238" t="s">
        <v>110</v>
      </c>
      <c r="B69" s="121" t="s">
        <v>99</v>
      </c>
      <c r="C69" s="236" t="str">
        <f>IF(ISBLANK(C67),"",C67/C68)</f>
        <v/>
      </c>
      <c r="D69" s="221">
        <f>F68</f>
        <v>0.36</v>
      </c>
      <c r="E69" s="217" t="s">
        <v>54</v>
      </c>
      <c r="F69" s="522">
        <f>D69+$J$69</f>
        <v>0.52</v>
      </c>
      <c r="G69" s="239" t="str">
        <f>IF(OR(D69=$C$69,AND(D69&lt;$C$69, F69&gt;$C$69)),H69,"")</f>
        <v/>
      </c>
      <c r="H69" s="222">
        <f>J$64+H68</f>
        <v>4</v>
      </c>
      <c r="I69" s="31"/>
      <c r="J69" s="373">
        <f>(1-J68)/5</f>
        <v>0.16</v>
      </c>
      <c r="K69" s="533" t="s">
        <v>84</v>
      </c>
      <c r="L69" s="68"/>
      <c r="M69" s="68"/>
      <c r="N69" s="533"/>
      <c r="O69" s="533"/>
      <c r="P69" s="533"/>
      <c r="Q69" s="533"/>
      <c r="R69" s="336"/>
    </row>
    <row r="70" spans="1:20" ht="12" customHeight="1">
      <c r="A70" s="321"/>
      <c r="B70" s="32"/>
      <c r="C70" s="145"/>
      <c r="D70" s="221">
        <f t="shared" ref="D70:D71" si="8">F69</f>
        <v>0.52</v>
      </c>
      <c r="E70" s="217" t="s">
        <v>54</v>
      </c>
      <c r="F70" s="522">
        <f>D70+$J$69</f>
        <v>0.68</v>
      </c>
      <c r="G70" s="239" t="str">
        <f>IF(OR(D70=$C$69,AND(D70&lt;$C$69, F70&gt;$C$69)),H70,"")</f>
        <v/>
      </c>
      <c r="H70" s="222">
        <f>J$64+H69</f>
        <v>6</v>
      </c>
      <c r="I70" s="31"/>
      <c r="J70" s="357">
        <f>H66</f>
        <v>10</v>
      </c>
      <c r="K70" s="533" t="s">
        <v>63</v>
      </c>
      <c r="L70" s="68"/>
      <c r="M70" s="68"/>
      <c r="N70" s="533"/>
      <c r="O70" s="533"/>
      <c r="P70" s="533"/>
      <c r="Q70" s="533"/>
      <c r="R70" s="336"/>
    </row>
    <row r="71" spans="1:20" ht="12" customHeight="1">
      <c r="A71" s="321"/>
      <c r="B71" s="32"/>
      <c r="C71" s="146"/>
      <c r="D71" s="221">
        <f t="shared" si="8"/>
        <v>0.68</v>
      </c>
      <c r="E71" s="217" t="s">
        <v>54</v>
      </c>
      <c r="F71" s="522">
        <f>D71+$J$69</f>
        <v>0.84000000000000008</v>
      </c>
      <c r="G71" s="239" t="str">
        <f>IF(OR(D71=$C$69,AND(D71&lt;$C$69, F71&gt;$C$69)),H71,"")</f>
        <v/>
      </c>
      <c r="H71" s="222">
        <f>J$64+H70</f>
        <v>8</v>
      </c>
      <c r="I71" s="31"/>
      <c r="J71" s="357">
        <f>J70/5</f>
        <v>2</v>
      </c>
      <c r="K71" s="533" t="s">
        <v>67</v>
      </c>
      <c r="L71" s="68"/>
      <c r="M71" s="533"/>
      <c r="N71" s="533"/>
      <c r="O71" s="533"/>
      <c r="P71" s="533"/>
      <c r="Q71" s="533"/>
      <c r="R71" s="336"/>
    </row>
    <row r="72" spans="1:20" ht="12" customHeight="1">
      <c r="A72" s="321"/>
      <c r="B72" s="32"/>
      <c r="C72" s="146"/>
      <c r="D72" s="221">
        <f>F71</f>
        <v>0.84000000000000008</v>
      </c>
      <c r="E72" s="217" t="s">
        <v>85</v>
      </c>
      <c r="F72" s="465" t="s">
        <v>66</v>
      </c>
      <c r="G72" s="239" t="str">
        <f>IF(C69="","",IF(OR(D72=$C$69,D72&lt;$C$69),H72,""))</f>
        <v/>
      </c>
      <c r="H72" s="222">
        <f>J$64+H71</f>
        <v>10</v>
      </c>
      <c r="I72" s="31"/>
      <c r="J72" s="533"/>
      <c r="K72" s="533"/>
      <c r="L72" s="533"/>
      <c r="M72" s="533"/>
      <c r="N72" s="533"/>
      <c r="O72" s="533"/>
      <c r="P72" s="533"/>
      <c r="Q72" s="533"/>
      <c r="R72" s="336"/>
    </row>
    <row r="73" spans="1:20" ht="12" customHeight="1">
      <c r="A73" s="42"/>
      <c r="B73" s="53"/>
      <c r="C73" s="48"/>
      <c r="D73" s="468"/>
      <c r="E73" s="469"/>
      <c r="F73" s="469"/>
      <c r="G73" s="25"/>
      <c r="H73" s="48"/>
      <c r="I73" s="31"/>
      <c r="J73" s="533"/>
      <c r="K73" s="533"/>
      <c r="L73" s="533"/>
      <c r="M73" s="533"/>
      <c r="N73" s="533"/>
      <c r="O73" s="533"/>
      <c r="P73" s="533"/>
      <c r="Q73" s="533"/>
      <c r="R73" s="336"/>
    </row>
    <row r="74" spans="1:20" s="7" customFormat="1" ht="18" customHeight="1">
      <c r="A74" s="30" t="s">
        <v>111</v>
      </c>
      <c r="B74" s="29"/>
      <c r="C74" s="28" t="s">
        <v>47</v>
      </c>
      <c r="D74" s="24">
        <f>SUM(G75:G78)</f>
        <v>0</v>
      </c>
      <c r="E74" s="29"/>
      <c r="F74" s="29"/>
      <c r="G74" s="27" t="s">
        <v>14</v>
      </c>
      <c r="H74" s="26">
        <v>3</v>
      </c>
      <c r="I74" s="381"/>
      <c r="J74" s="533"/>
      <c r="K74" s="533"/>
      <c r="L74" s="533"/>
      <c r="M74" s="533"/>
      <c r="N74" s="533"/>
      <c r="O74" s="533"/>
      <c r="P74" s="533"/>
      <c r="Q74" s="533"/>
      <c r="R74" s="336"/>
      <c r="S74" s="339"/>
      <c r="T74" s="339"/>
    </row>
    <row r="75" spans="1:20" s="7" customFormat="1" ht="12.5">
      <c r="A75" s="527" t="s">
        <v>112</v>
      </c>
      <c r="B75" s="238" t="s">
        <v>113</v>
      </c>
      <c r="C75" s="147"/>
      <c r="D75" s="221" t="s">
        <v>114</v>
      </c>
      <c r="E75" s="217"/>
      <c r="F75" s="522">
        <v>0</v>
      </c>
      <c r="G75" s="214" t="str">
        <f>IF(C78&lt;0,H75,"")</f>
        <v/>
      </c>
      <c r="H75" s="222">
        <v>0</v>
      </c>
      <c r="I75" s="381"/>
      <c r="J75" s="357">
        <v>100</v>
      </c>
      <c r="K75" s="356" t="s">
        <v>115</v>
      </c>
      <c r="L75" s="533"/>
      <c r="M75" s="533"/>
      <c r="N75" s="533"/>
      <c r="O75" s="533"/>
      <c r="P75" s="533"/>
      <c r="Q75" s="533"/>
      <c r="R75" s="336"/>
      <c r="S75" s="339"/>
      <c r="T75" s="339"/>
    </row>
    <row r="76" spans="1:20" s="7" customFormat="1" ht="12.5">
      <c r="A76" s="527" t="s">
        <v>116</v>
      </c>
      <c r="B76" s="238" t="s">
        <v>117</v>
      </c>
      <c r="C76" s="147"/>
      <c r="D76" s="221">
        <v>0</v>
      </c>
      <c r="E76" s="217" t="s">
        <v>106</v>
      </c>
      <c r="F76" s="522">
        <f>D76+J76</f>
        <v>0.1</v>
      </c>
      <c r="G76" s="214" t="str">
        <f>IF(OR(D76=$C$78,AND(D76&lt;$C$78, F76&gt;$C$78)),H76,"")</f>
        <v/>
      </c>
      <c r="H76" s="222">
        <f>H75+$J$78</f>
        <v>1</v>
      </c>
      <c r="I76" s="381"/>
      <c r="J76" s="361">
        <v>0.1</v>
      </c>
      <c r="K76" s="356" t="s">
        <v>118</v>
      </c>
      <c r="L76" s="533"/>
      <c r="M76" s="533"/>
      <c r="N76" s="533"/>
      <c r="O76" s="356" t="s">
        <v>119</v>
      </c>
      <c r="P76" s="533"/>
      <c r="Q76" s="533"/>
      <c r="R76" s="336"/>
      <c r="S76" s="339"/>
      <c r="T76" s="339"/>
    </row>
    <row r="77" spans="1:20" s="7" customFormat="1" ht="12.5">
      <c r="A77" s="527" t="s">
        <v>120</v>
      </c>
      <c r="B77" s="121" t="s">
        <v>99</v>
      </c>
      <c r="C77" s="148" t="str">
        <f>IF(ISBLANK(C76),"",C75/C76)</f>
        <v/>
      </c>
      <c r="D77" s="221">
        <f>F76</f>
        <v>0.1</v>
      </c>
      <c r="E77" s="217" t="s">
        <v>121</v>
      </c>
      <c r="F77" s="522">
        <f>D77+J76</f>
        <v>0.2</v>
      </c>
      <c r="G77" s="214" t="str">
        <f>IF(OR(D77=$C$78,AND(D77&lt;$C$78, F77&gt;$C$78)),H77,"")</f>
        <v/>
      </c>
      <c r="H77" s="222">
        <f>H76+$J$78</f>
        <v>2</v>
      </c>
      <c r="I77" s="381"/>
      <c r="J77" s="384">
        <f>H74</f>
        <v>3</v>
      </c>
      <c r="K77" s="385" t="s">
        <v>122</v>
      </c>
      <c r="L77" s="533"/>
      <c r="M77" s="533"/>
      <c r="N77" s="533"/>
      <c r="O77" s="533"/>
      <c r="P77" s="533"/>
      <c r="Q77" s="533"/>
      <c r="R77" s="336"/>
      <c r="S77" s="339"/>
      <c r="T77" s="339"/>
    </row>
    <row r="78" spans="1:20" s="7" customFormat="1" ht="12.5">
      <c r="A78" s="527" t="s">
        <v>123</v>
      </c>
      <c r="B78" s="121" t="s">
        <v>99</v>
      </c>
      <c r="C78" s="252" t="str">
        <f>IF(COUNT(C77)=0,"",(1-C77))</f>
        <v/>
      </c>
      <c r="D78" s="221">
        <f>F77</f>
        <v>0.2</v>
      </c>
      <c r="E78" s="217" t="s">
        <v>85</v>
      </c>
      <c r="F78" s="465" t="s">
        <v>124</v>
      </c>
      <c r="G78" s="214" t="str">
        <f>IF(C78="","",IF(OR(D78=$C$78,D78&lt;$C$78),H78,""))</f>
        <v/>
      </c>
      <c r="H78" s="222">
        <f>H77+$J$78</f>
        <v>3</v>
      </c>
      <c r="I78" s="381"/>
      <c r="J78" s="358">
        <f>J77/3</f>
        <v>1</v>
      </c>
      <c r="K78" s="356" t="s">
        <v>125</v>
      </c>
      <c r="L78" s="533"/>
      <c r="M78" s="533"/>
      <c r="N78" s="533"/>
      <c r="O78" s="533"/>
      <c r="P78" s="533"/>
      <c r="Q78" s="533"/>
      <c r="R78" s="336"/>
      <c r="S78" s="339"/>
      <c r="T78" s="339"/>
    </row>
    <row r="79" spans="1:20" s="7" customFormat="1" ht="15" customHeight="1">
      <c r="A79" s="42"/>
      <c r="B79" s="321"/>
      <c r="C79" s="113"/>
      <c r="D79" s="112"/>
      <c r="E79" s="75"/>
      <c r="F79" s="216"/>
      <c r="G79" s="128"/>
      <c r="H79" s="150"/>
      <c r="I79" s="381"/>
      <c r="J79" s="357"/>
      <c r="K79" s="356"/>
      <c r="L79" s="533"/>
      <c r="M79" s="533"/>
      <c r="N79" s="533"/>
      <c r="O79" s="533"/>
      <c r="P79" s="533"/>
      <c r="Q79" s="533"/>
      <c r="R79" s="336"/>
      <c r="S79" s="339"/>
      <c r="T79" s="339"/>
    </row>
    <row r="80" spans="1:20" ht="18" customHeight="1">
      <c r="A80" s="30" t="s">
        <v>126</v>
      </c>
      <c r="B80" s="29"/>
      <c r="C80" s="28" t="s">
        <v>47</v>
      </c>
      <c r="D80" s="24">
        <f>SUM(D85)</f>
        <v>0</v>
      </c>
      <c r="E80" s="29"/>
      <c r="F80" s="29"/>
      <c r="G80" s="27" t="s">
        <v>14</v>
      </c>
      <c r="H80" s="26">
        <v>8</v>
      </c>
      <c r="I80" s="513"/>
      <c r="J80" s="356"/>
      <c r="K80" s="533"/>
      <c r="L80" s="513"/>
      <c r="M80" s="513"/>
      <c r="N80" s="513"/>
      <c r="O80" s="513"/>
      <c r="P80" s="533"/>
      <c r="Q80" s="533"/>
      <c r="R80" s="336"/>
    </row>
    <row r="81" spans="1:20" ht="25.5" customHeight="1">
      <c r="A81" s="527" t="s">
        <v>127</v>
      </c>
      <c r="B81" s="527" t="s">
        <v>128</v>
      </c>
      <c r="C81" s="332" t="s">
        <v>129</v>
      </c>
      <c r="D81" s="615"/>
      <c r="E81" s="616"/>
      <c r="F81" s="617"/>
      <c r="G81" s="81"/>
      <c r="H81" s="141"/>
      <c r="I81" s="68"/>
      <c r="J81" s="386">
        <v>8</v>
      </c>
      <c r="K81" s="356" t="s">
        <v>130</v>
      </c>
      <c r="L81" s="533"/>
      <c r="M81" s="533"/>
      <c r="N81" s="533"/>
      <c r="O81" s="533"/>
      <c r="P81" s="533"/>
      <c r="Q81" s="533"/>
      <c r="R81" s="336"/>
    </row>
    <row r="82" spans="1:20" ht="25.5" customHeight="1">
      <c r="A82" s="238" t="s">
        <v>131</v>
      </c>
      <c r="B82" s="527" t="s">
        <v>128</v>
      </c>
      <c r="C82" s="332" t="s">
        <v>129</v>
      </c>
      <c r="D82" s="605"/>
      <c r="E82" s="606"/>
      <c r="F82" s="607"/>
      <c r="G82" s="529"/>
      <c r="H82" s="141"/>
      <c r="I82" s="68"/>
      <c r="J82" s="387"/>
      <c r="K82" s="385"/>
      <c r="L82" s="533"/>
      <c r="M82" s="533"/>
      <c r="N82" s="533"/>
      <c r="P82" s="533"/>
      <c r="Q82" s="533"/>
      <c r="R82" s="336"/>
    </row>
    <row r="83" spans="1:20" ht="25.5" customHeight="1">
      <c r="A83" s="238" t="s">
        <v>132</v>
      </c>
      <c r="B83" s="527" t="s">
        <v>128</v>
      </c>
      <c r="C83" s="332" t="s">
        <v>129</v>
      </c>
      <c r="D83" s="605"/>
      <c r="E83" s="606"/>
      <c r="F83" s="607"/>
      <c r="G83" s="529"/>
      <c r="H83" s="141"/>
      <c r="I83" s="68"/>
      <c r="J83" s="387"/>
      <c r="K83" s="385"/>
      <c r="L83" s="533"/>
      <c r="M83" s="533"/>
      <c r="N83" s="533"/>
      <c r="O83" s="533"/>
      <c r="P83" s="533"/>
      <c r="Q83" s="533"/>
      <c r="R83" s="336"/>
    </row>
    <row r="84" spans="1:20" ht="25.5" customHeight="1">
      <c r="A84" s="118" t="s">
        <v>133</v>
      </c>
      <c r="B84" s="528" t="s">
        <v>134</v>
      </c>
      <c r="C84" s="332" t="s">
        <v>129</v>
      </c>
      <c r="D84" s="618"/>
      <c r="E84" s="619"/>
      <c r="F84" s="620"/>
      <c r="G84" s="529"/>
      <c r="H84" s="141"/>
      <c r="I84" s="68"/>
      <c r="J84" s="387"/>
      <c r="K84" s="356"/>
      <c r="L84" s="628"/>
      <c r="M84" s="628"/>
      <c r="N84" s="628"/>
      <c r="O84" s="628"/>
      <c r="P84" s="533"/>
      <c r="Q84" s="533"/>
      <c r="R84" s="336"/>
    </row>
    <row r="85" spans="1:20">
      <c r="A85" s="528" t="s">
        <v>135</v>
      </c>
      <c r="B85" s="121" t="s">
        <v>99</v>
      </c>
      <c r="C85" s="116"/>
      <c r="D85" s="608" t="str">
        <f>IF(C84="SELECT TRUE OR FALSE","",IF((AND(C81=TRUE,C82=TRUE,C83=TRUE,C84=TRUE)),H80,0))</f>
        <v/>
      </c>
      <c r="E85" s="609"/>
      <c r="F85" s="610"/>
      <c r="G85" s="529"/>
      <c r="H85" s="141"/>
      <c r="I85" s="68"/>
      <c r="J85" s="387"/>
      <c r="K85" s="356"/>
      <c r="L85" s="533"/>
      <c r="M85" s="533"/>
      <c r="N85" s="533"/>
      <c r="O85" s="533"/>
      <c r="P85" s="533"/>
      <c r="Q85" s="533"/>
      <c r="R85" s="336"/>
    </row>
    <row r="86" spans="1:20">
      <c r="A86" s="34"/>
      <c r="B86" s="53"/>
      <c r="C86" s="48"/>
      <c r="D86" s="140"/>
      <c r="E86" s="529"/>
      <c r="F86" s="140"/>
      <c r="G86" s="529"/>
      <c r="H86" s="141"/>
      <c r="I86" s="68"/>
      <c r="J86" s="336"/>
      <c r="K86" s="336"/>
      <c r="L86" s="533"/>
      <c r="M86" s="533"/>
      <c r="N86" s="533"/>
      <c r="O86" s="533"/>
      <c r="P86" s="533"/>
      <c r="Q86" s="533"/>
      <c r="R86" s="336"/>
    </row>
    <row r="87" spans="1:20" ht="13.5" thickBot="1">
      <c r="A87" s="34"/>
      <c r="B87" s="53"/>
      <c r="C87" s="48"/>
      <c r="D87" s="48"/>
      <c r="E87" s="48"/>
      <c r="F87" s="48"/>
      <c r="G87" s="31"/>
      <c r="H87" s="490"/>
      <c r="I87" s="377"/>
      <c r="J87" s="336"/>
      <c r="K87" s="336"/>
      <c r="L87" s="533"/>
      <c r="M87" s="533"/>
      <c r="N87" s="533"/>
      <c r="O87" s="533"/>
      <c r="P87" s="533"/>
      <c r="Q87" s="533"/>
      <c r="R87" s="336"/>
    </row>
    <row r="88" spans="1:20" ht="22.5" customHeight="1" thickTop="1" thickBot="1">
      <c r="A88" s="114" t="s">
        <v>136</v>
      </c>
      <c r="B88" s="61"/>
      <c r="C88" s="60" t="s">
        <v>137</v>
      </c>
      <c r="D88" s="555">
        <f>SUM(D90,D121,D129,D137)</f>
        <v>0</v>
      </c>
      <c r="E88" s="556"/>
      <c r="F88" s="557"/>
      <c r="G88" s="58" t="s">
        <v>14</v>
      </c>
      <c r="H88" s="104">
        <f>SUM(H90,H121,H129,H137)</f>
        <v>18</v>
      </c>
      <c r="I88" s="377"/>
      <c r="J88" s="336"/>
      <c r="K88" s="336"/>
      <c r="L88" s="533"/>
      <c r="M88" s="533"/>
      <c r="N88" s="533"/>
      <c r="O88" s="533"/>
      <c r="P88" s="533"/>
      <c r="Q88" s="533"/>
      <c r="R88" s="336"/>
    </row>
    <row r="89" spans="1:20" ht="13.5" thickTop="1">
      <c r="A89" s="34"/>
      <c r="B89" s="53"/>
      <c r="C89" s="48"/>
      <c r="D89" s="48"/>
      <c r="E89" s="48"/>
      <c r="F89" s="48"/>
      <c r="G89" s="31"/>
      <c r="H89" s="490"/>
      <c r="I89" s="377"/>
      <c r="J89" s="336"/>
      <c r="K89" s="336"/>
      <c r="L89" s="533"/>
      <c r="M89" s="533"/>
      <c r="N89" s="533"/>
      <c r="O89" s="533"/>
      <c r="P89" s="533"/>
      <c r="Q89" s="533"/>
      <c r="R89" s="336"/>
    </row>
    <row r="90" spans="1:20" s="317" customFormat="1" ht="18" customHeight="1">
      <c r="A90" s="30" t="s">
        <v>138</v>
      </c>
      <c r="B90" s="142" t="s">
        <v>139</v>
      </c>
      <c r="C90" s="28" t="s">
        <v>47</v>
      </c>
      <c r="D90" s="24">
        <f>SUM(H94,H103)</f>
        <v>0</v>
      </c>
      <c r="E90" s="29"/>
      <c r="F90" s="29"/>
      <c r="G90" s="27" t="s">
        <v>14</v>
      </c>
      <c r="H90" s="26">
        <v>5</v>
      </c>
      <c r="I90" s="388"/>
      <c r="J90" s="366"/>
      <c r="K90" s="389"/>
      <c r="L90" s="389"/>
      <c r="M90" s="389"/>
      <c r="N90" s="389"/>
      <c r="O90" s="389"/>
      <c r="P90" s="390"/>
      <c r="Q90" s="389"/>
      <c r="R90" s="389"/>
      <c r="S90" s="391"/>
      <c r="T90" s="368"/>
    </row>
    <row r="91" spans="1:20" s="7" customFormat="1" ht="41.25" customHeight="1">
      <c r="A91" s="528" t="s">
        <v>140</v>
      </c>
      <c r="B91" s="527" t="s">
        <v>141</v>
      </c>
      <c r="C91" s="611" t="s">
        <v>142</v>
      </c>
      <c r="D91" s="612"/>
      <c r="E91" s="612"/>
      <c r="F91" s="612"/>
      <c r="G91" s="612"/>
      <c r="H91" s="613"/>
      <c r="I91" s="31"/>
      <c r="J91" s="385"/>
      <c r="K91" s="336"/>
      <c r="L91" s="336"/>
      <c r="M91" s="336"/>
      <c r="N91" s="336"/>
      <c r="O91" s="336"/>
      <c r="P91" s="533"/>
      <c r="Q91" s="336"/>
      <c r="R91" s="336"/>
      <c r="S91" s="339"/>
      <c r="T91" s="374"/>
    </row>
    <row r="92" spans="1:20" s="7" customFormat="1" ht="15" customHeight="1">
      <c r="A92" s="63"/>
      <c r="B92" s="63"/>
      <c r="C92" s="296"/>
      <c r="D92" s="296"/>
      <c r="E92" s="296"/>
      <c r="F92" s="296"/>
      <c r="G92" s="296"/>
      <c r="H92" s="296"/>
      <c r="I92" s="31"/>
      <c r="J92" s="385"/>
      <c r="K92" s="336"/>
      <c r="L92" s="336"/>
      <c r="M92" s="336"/>
      <c r="N92" s="336"/>
      <c r="O92" s="336"/>
      <c r="P92" s="533"/>
      <c r="Q92" s="336"/>
      <c r="R92" s="336"/>
      <c r="S92" s="339"/>
      <c r="T92" s="392"/>
    </row>
    <row r="93" spans="1:20" s="7" customFormat="1" ht="15" customHeight="1">
      <c r="A93" s="72" t="str">
        <f>IF(C91=Ranges!$D$1,"",IF(C91=Ranges!$D$2,"Please fill in this section.",IF(C91=Ranges!$D$3,"Please fill in this section","This section does not apply to this project.")))</f>
        <v>This section does not apply to this project.</v>
      </c>
      <c r="B93" s="284"/>
      <c r="C93" s="188"/>
      <c r="D93" s="285"/>
      <c r="E93" s="284"/>
      <c r="F93" s="284"/>
      <c r="G93" s="286"/>
      <c r="H93" s="287"/>
      <c r="I93" s="31"/>
      <c r="J93" s="385"/>
      <c r="K93" s="336"/>
      <c r="L93" s="336"/>
      <c r="M93" s="336"/>
      <c r="N93" s="336"/>
      <c r="O93" s="336"/>
      <c r="P93" s="533"/>
      <c r="Q93" s="336"/>
      <c r="R93" s="336"/>
      <c r="S93" s="339"/>
      <c r="T93" s="339"/>
    </row>
    <row r="94" spans="1:20" s="7" customFormat="1" ht="30" customHeight="1">
      <c r="A94" s="230" t="str">
        <f>IF(C91=Ranges!$D$2,"Total PITC persons served in households without children - 2016 AVG of Quarters",IF(C91=Ranges!$D$3,"Total PITC households with children served","Not Applicable"))</f>
        <v>Not Applicable</v>
      </c>
      <c r="B94" s="231" t="str">
        <f>IF(C91=Ranges!$D$2,"APR Q.8, table 3, row 1, col 2",IF(C91=Ranges!$D$3,"APR Q.9, table 2, row 1, col 3",""))</f>
        <v/>
      </c>
      <c r="C94" s="283" t="s">
        <v>143</v>
      </c>
      <c r="D94" s="291"/>
      <c r="E94" s="585" t="str">
        <f>IF(C91=Ranges!$D$2,"Bed utilization of at least 85% receives 5 points.",IF(C91=Ranges!$D$3,"Bed utilization of at least 85% receives 5 points.",""))</f>
        <v/>
      </c>
      <c r="F94" s="586"/>
      <c r="G94" s="587"/>
      <c r="H94" s="297" t="str">
        <f>IF(OR(COUNT(D100)=0,A93="This section does not apply to this project.",C91=Ranges!D1),"",IF(D100&gt;=0.85,5,0))</f>
        <v/>
      </c>
      <c r="I94" s="31"/>
      <c r="J94" s="385"/>
      <c r="K94" s="336"/>
      <c r="L94" s="336"/>
      <c r="M94" s="336"/>
      <c r="N94" s="336"/>
      <c r="O94" s="336"/>
      <c r="P94" s="533"/>
      <c r="Q94" s="336"/>
      <c r="R94" s="336"/>
      <c r="S94" s="339"/>
      <c r="T94" s="339"/>
    </row>
    <row r="95" spans="1:20" s="7" customFormat="1" ht="30" customHeight="1">
      <c r="A95" s="230"/>
      <c r="B95" s="231" t="str">
        <f>IF(C91=Ranges!$D$2,"APR Q.8, table 3, row 2, col 2",IF(C91=Ranges!$D$3,"APR Q.9, table 2, row 2, col 3",""))</f>
        <v/>
      </c>
      <c r="C95" s="283" t="s">
        <v>144</v>
      </c>
      <c r="D95" s="291"/>
      <c r="E95" s="62"/>
      <c r="F95" s="62"/>
      <c r="G95" s="62"/>
      <c r="H95" s="62"/>
      <c r="I95" s="31"/>
      <c r="J95" s="385"/>
      <c r="K95" s="336"/>
      <c r="L95" s="336"/>
      <c r="M95" s="336"/>
      <c r="N95" s="336"/>
      <c r="O95" s="336"/>
      <c r="P95" s="533"/>
      <c r="Q95" s="336"/>
      <c r="R95" s="336"/>
      <c r="S95" s="339"/>
      <c r="T95" s="339"/>
    </row>
    <row r="96" spans="1:20" s="7" customFormat="1" ht="30" customHeight="1">
      <c r="A96" s="230"/>
      <c r="B96" s="231" t="str">
        <f>IF(C91=Ranges!$D$2,"APR Q.8, table 3, row 3, col 2",IF(C91=Ranges!$D$3,"APR Q.9, table 2, row 3, col 3",""))</f>
        <v/>
      </c>
      <c r="C96" s="283" t="s">
        <v>145</v>
      </c>
      <c r="D96" s="291"/>
      <c r="E96" s="62"/>
      <c r="F96" s="62"/>
      <c r="G96" s="62"/>
      <c r="H96" s="62"/>
      <c r="I96" s="31"/>
      <c r="J96" s="385"/>
      <c r="K96" s="336"/>
      <c r="L96" s="336"/>
      <c r="M96" s="336"/>
      <c r="N96" s="336"/>
      <c r="O96" s="336"/>
      <c r="P96" s="533"/>
      <c r="Q96" s="336"/>
      <c r="R96" s="336"/>
      <c r="S96" s="339"/>
      <c r="T96" s="339"/>
    </row>
    <row r="97" spans="1:20" s="7" customFormat="1" ht="30" customHeight="1">
      <c r="A97" s="230"/>
      <c r="B97" s="231" t="str">
        <f>IF(C91=Ranges!$D$2,"APR Q.8, table 3, row 4, col 2",IF(C91=Ranges!$D$3,"APR Q.9, table 2, row 4, col 3",""))</f>
        <v/>
      </c>
      <c r="C97" s="283" t="s">
        <v>146</v>
      </c>
      <c r="D97" s="291"/>
      <c r="E97" s="62"/>
      <c r="F97" s="62"/>
      <c r="G97" s="62"/>
      <c r="H97" s="62"/>
      <c r="I97" s="31"/>
      <c r="J97" s="385"/>
      <c r="K97" s="336"/>
      <c r="L97" s="336"/>
      <c r="M97" s="336"/>
      <c r="N97" s="336"/>
      <c r="O97" s="336"/>
      <c r="P97" s="533"/>
      <c r="Q97" s="336"/>
      <c r="R97" s="336"/>
      <c r="S97" s="339"/>
      <c r="T97" s="339"/>
    </row>
    <row r="98" spans="1:20" s="7" customFormat="1" ht="30" customHeight="1">
      <c r="A98" s="230"/>
      <c r="B98" s="307" t="str">
        <f>IF(C91=Ranges!$D$2,"Calculation",IF(C91=Ranges!$D$3,"Calculation",""))</f>
        <v/>
      </c>
      <c r="C98" s="298" t="s">
        <v>147</v>
      </c>
      <c r="D98" s="292" t="str">
        <f>IF(ISBLANK(D97),"",AVERAGE(D94:D97))</f>
        <v/>
      </c>
      <c r="E98" s="62"/>
      <c r="F98" s="62"/>
      <c r="G98" s="62"/>
      <c r="H98" s="62"/>
      <c r="I98" s="31"/>
      <c r="J98" s="385"/>
      <c r="K98" s="336"/>
      <c r="L98" s="336"/>
      <c r="M98" s="336"/>
      <c r="N98" s="336"/>
      <c r="O98" s="336"/>
      <c r="P98" s="533"/>
      <c r="Q98" s="336"/>
      <c r="R98" s="336"/>
      <c r="S98" s="339"/>
      <c r="T98" s="339"/>
    </row>
    <row r="99" spans="1:20" s="7" customFormat="1" ht="30" customHeight="1">
      <c r="A99" s="230" t="str">
        <f>IF(C91=Ranges!$D$2,"Total beds for persons served in households without children - 2016 HIC",IF(C91=Ranges!$D$3,"Total number of units for households with children","Not Applicable"))</f>
        <v>Not Applicable</v>
      </c>
      <c r="B99" s="234" t="str">
        <f>IF(C91=Ranges!$D$2,"2016 Housing Inventory Count (HIC) Chart",IF(C91=Ranges!$D$3,"2016 HIC",""))</f>
        <v/>
      </c>
      <c r="C99" s="303"/>
      <c r="D99" s="147"/>
      <c r="E99" s="62"/>
      <c r="F99" s="62"/>
      <c r="G99" s="243"/>
      <c r="H99" s="219"/>
      <c r="I99" s="31"/>
      <c r="J99" s="385"/>
      <c r="K99" s="336"/>
      <c r="L99" s="336"/>
      <c r="M99" s="336"/>
      <c r="N99" s="336"/>
      <c r="O99" s="336"/>
      <c r="P99" s="533"/>
      <c r="Q99" s="336"/>
      <c r="R99" s="336"/>
      <c r="S99" s="339"/>
      <c r="T99" s="339"/>
    </row>
    <row r="100" spans="1:20" s="7" customFormat="1" ht="30" customHeight="1">
      <c r="A100" s="232" t="str">
        <f>IF(C91=Ranges!$D$2,"Bed utilization for households without children",IF(C91=Ranges!$D$3,"Bed utilization for households with children",""))</f>
        <v/>
      </c>
      <c r="B100" s="308" t="str">
        <f>IF(C91=Ranges!$D$2,"Calculation",IF(C91=Ranges!$D$3,"Calculation",""))</f>
        <v/>
      </c>
      <c r="C100" s="305"/>
      <c r="D100" s="288" t="str">
        <f>IF(ISBLANK(D99),"",D98/D99)</f>
        <v/>
      </c>
      <c r="E100" s="188"/>
      <c r="F100" s="62"/>
      <c r="G100" s="62"/>
      <c r="H100" s="188"/>
      <c r="I100" s="31"/>
      <c r="J100" s="385"/>
      <c r="K100" s="336"/>
      <c r="L100" s="336"/>
      <c r="M100" s="336"/>
      <c r="N100" s="336"/>
      <c r="O100" s="336"/>
      <c r="P100" s="533"/>
      <c r="Q100" s="336"/>
      <c r="R100" s="336"/>
      <c r="S100" s="339"/>
      <c r="T100" s="339"/>
    </row>
    <row r="101" spans="1:20" s="7" customFormat="1" ht="17.25" customHeight="1">
      <c r="A101" s="282"/>
      <c r="B101" s="40"/>
      <c r="C101" s="289"/>
      <c r="D101" s="62"/>
      <c r="E101" s="62"/>
      <c r="F101" s="62"/>
      <c r="G101" s="243"/>
      <c r="H101" s="219"/>
      <c r="I101" s="31"/>
      <c r="J101" s="385"/>
      <c r="K101" s="336"/>
      <c r="L101" s="336"/>
      <c r="M101" s="336"/>
      <c r="N101" s="336"/>
      <c r="O101" s="336"/>
      <c r="P101" s="533"/>
      <c r="Q101" s="336"/>
      <c r="R101" s="336"/>
      <c r="S101" s="339"/>
      <c r="T101" s="339"/>
    </row>
    <row r="102" spans="1:20" s="7" customFormat="1" ht="15" customHeight="1">
      <c r="A102" s="72" t="str">
        <f>IF(C91=Ranges!$D$1,"",IF(C91=Ranges!$D$4,"Please fill in this section.","This section does not apply to this project."))</f>
        <v>Please fill in this section.</v>
      </c>
      <c r="B102" s="284"/>
      <c r="C102" s="188"/>
      <c r="D102" s="285"/>
      <c r="E102" s="284"/>
      <c r="F102" s="284"/>
      <c r="G102" s="286"/>
      <c r="H102" s="287"/>
      <c r="I102" s="31"/>
      <c r="J102" s="385"/>
      <c r="K102" s="336"/>
      <c r="L102" s="336"/>
      <c r="M102" s="336"/>
      <c r="N102" s="336"/>
      <c r="O102" s="336"/>
      <c r="P102" s="533"/>
      <c r="Q102" s="336"/>
      <c r="R102" s="336"/>
      <c r="S102" s="339"/>
      <c r="T102" s="339"/>
    </row>
    <row r="103" spans="1:20" s="7" customFormat="1" ht="30" customHeight="1">
      <c r="A103" s="230" t="str">
        <f>IF(C91=Ranges!$D$4,"Total PITC Persons in households without children served - 2016 AVG Quarters","Not Applicable")</f>
        <v>Total PITC Persons in households without children served - 2016 AVG Quarters</v>
      </c>
      <c r="B103" s="231" t="str">
        <f>IF(C91=Ranges!$D$4,"Q.8 table 3, row 1, col 2","")</f>
        <v>Q.8 table 3, row 1, col 2</v>
      </c>
      <c r="C103" s="283" t="s">
        <v>143</v>
      </c>
      <c r="D103" s="291"/>
      <c r="E103" s="588" t="str">
        <f>IF(C91=Ranges!$D$4,"If bed utilization is at least 85%, 5 points are earned.","")</f>
        <v>If bed utilization is at least 85%, 5 points are earned.</v>
      </c>
      <c r="F103" s="586"/>
      <c r="G103" s="587"/>
      <c r="H103" s="526" t="str">
        <f>IF(COUNT(D119)=0,"",IF(AND(C91=Ranges!$D$4,D119&gt;=0.85),5,IF(Ranges!$D$4=C91,0,"")))</f>
        <v/>
      </c>
      <c r="I103" s="31"/>
      <c r="J103" s="385"/>
      <c r="K103" s="336"/>
      <c r="L103" s="336"/>
      <c r="M103" s="336"/>
      <c r="N103" s="336"/>
      <c r="O103" s="336"/>
      <c r="P103" s="533"/>
      <c r="Q103" s="336"/>
      <c r="R103" s="336"/>
      <c r="S103" s="339"/>
      <c r="T103" s="339"/>
    </row>
    <row r="104" spans="1:20" s="7" customFormat="1" ht="30" customHeight="1">
      <c r="A104" s="230"/>
      <c r="B104" s="231" t="str">
        <f>IF(C91=Ranges!$D$4,"Q.8 table 3, row 2, col 2","")</f>
        <v>Q.8 table 3, row 2, col 2</v>
      </c>
      <c r="C104" s="283" t="s">
        <v>144</v>
      </c>
      <c r="D104" s="291"/>
      <c r="E104" s="293"/>
      <c r="F104" s="293"/>
      <c r="G104" s="293"/>
      <c r="H104" s="294"/>
      <c r="I104" s="31"/>
      <c r="J104" s="385"/>
      <c r="K104" s="336"/>
      <c r="L104" s="336"/>
      <c r="M104" s="336"/>
      <c r="N104" s="336"/>
      <c r="O104" s="336"/>
      <c r="P104" s="533"/>
      <c r="Q104" s="336"/>
      <c r="R104" s="336"/>
      <c r="S104" s="339"/>
      <c r="T104" s="339"/>
    </row>
    <row r="105" spans="1:20" s="7" customFormat="1" ht="30" customHeight="1">
      <c r="A105" s="230"/>
      <c r="B105" s="231" t="str">
        <f>IF(C91=Ranges!$D$4,"Q.8 table 3, row 3, col 2","")</f>
        <v>Q.8 table 3, row 3, col 2</v>
      </c>
      <c r="C105" s="283" t="s">
        <v>145</v>
      </c>
      <c r="D105" s="291"/>
      <c r="E105" s="293"/>
      <c r="F105" s="293"/>
      <c r="G105" s="293"/>
      <c r="H105" s="294"/>
      <c r="I105" s="31"/>
      <c r="J105" s="385"/>
      <c r="K105" s="336"/>
      <c r="L105" s="336"/>
      <c r="M105" s="336"/>
      <c r="N105" s="336"/>
      <c r="O105" s="336"/>
      <c r="P105" s="533"/>
      <c r="Q105" s="336"/>
      <c r="R105" s="336"/>
      <c r="S105" s="339"/>
      <c r="T105" s="339"/>
    </row>
    <row r="106" spans="1:20" s="7" customFormat="1" ht="30" customHeight="1">
      <c r="A106" s="230"/>
      <c r="B106" s="231" t="str">
        <f>IF(C91=Ranges!$D$4,"Q.8 table 3, row 4, col 2","")</f>
        <v>Q.8 table 3, row 4, col 2</v>
      </c>
      <c r="C106" s="283" t="s">
        <v>146</v>
      </c>
      <c r="D106" s="291"/>
      <c r="E106" s="293"/>
      <c r="F106" s="293"/>
      <c r="G106" s="293"/>
      <c r="H106" s="294"/>
      <c r="I106" s="31"/>
      <c r="J106" s="385"/>
      <c r="K106" s="336"/>
      <c r="L106" s="336"/>
      <c r="M106" s="336"/>
      <c r="N106" s="336"/>
      <c r="O106" s="336"/>
      <c r="P106" s="533"/>
      <c r="Q106" s="336"/>
      <c r="R106" s="336"/>
      <c r="S106" s="339"/>
      <c r="T106" s="339"/>
    </row>
    <row r="107" spans="1:20" s="7" customFormat="1" ht="30" customHeight="1">
      <c r="A107" s="230"/>
      <c r="B107" s="306" t="str">
        <f>IF(C91=Ranges!$D$4,"Calculation","")</f>
        <v>Calculation</v>
      </c>
      <c r="C107" s="299" t="s">
        <v>147</v>
      </c>
      <c r="D107" s="310" t="str">
        <f>IF(ISBLANK(D106),"",AVERAGE(D103:D106))</f>
        <v/>
      </c>
      <c r="E107" s="290"/>
      <c r="F107" s="62"/>
      <c r="G107" s="62"/>
      <c r="H107" s="243"/>
      <c r="I107" s="31"/>
      <c r="J107" s="385"/>
      <c r="K107" s="336"/>
      <c r="L107" s="336"/>
      <c r="M107" s="336"/>
      <c r="N107" s="336"/>
      <c r="O107" s="336"/>
      <c r="P107" s="533"/>
      <c r="Q107" s="336"/>
      <c r="R107" s="336"/>
      <c r="S107" s="339"/>
      <c r="T107" s="339"/>
    </row>
    <row r="108" spans="1:20" s="7" customFormat="1" ht="30" customHeight="1">
      <c r="A108" s="230" t="str">
        <f>IF(C91=Ranges!$D$4,"Total PITC Persons in households with children served - 2016 AVG Quarters","Not Applicable")</f>
        <v>Total PITC Persons in households with children served - 2016 AVG Quarters</v>
      </c>
      <c r="B108" s="231" t="str">
        <f>IF(C91=Ranges!$D$4,"APR Q.9, table 2, row 1, col 3","")</f>
        <v>APR Q.9, table 2, row 1, col 3</v>
      </c>
      <c r="C108" s="283" t="s">
        <v>143</v>
      </c>
      <c r="D108" s="291"/>
      <c r="E108" s="290"/>
      <c r="F108" s="62"/>
      <c r="G108" s="62"/>
      <c r="H108" s="243"/>
      <c r="I108" s="31"/>
      <c r="J108" s="385"/>
      <c r="K108" s="336"/>
      <c r="L108" s="336"/>
      <c r="M108" s="336"/>
      <c r="N108" s="336"/>
      <c r="O108" s="336"/>
      <c r="P108" s="533"/>
      <c r="Q108" s="336"/>
      <c r="R108" s="336"/>
      <c r="S108" s="339"/>
      <c r="T108" s="339"/>
    </row>
    <row r="109" spans="1:20" s="7" customFormat="1" ht="30" customHeight="1">
      <c r="A109" s="230"/>
      <c r="B109" s="231" t="str">
        <f>IF(C91=Ranges!$D$4,"APR Q.9, table 2, row 2, col 3","")</f>
        <v>APR Q.9, table 2, row 2, col 3</v>
      </c>
      <c r="C109" s="283" t="s">
        <v>144</v>
      </c>
      <c r="D109" s="291"/>
      <c r="E109" s="290"/>
      <c r="F109" s="62"/>
      <c r="G109" s="62"/>
      <c r="H109" s="243"/>
      <c r="I109" s="31"/>
      <c r="J109" s="385"/>
      <c r="K109" s="336"/>
      <c r="L109" s="336"/>
      <c r="M109" s="336"/>
      <c r="N109" s="336"/>
      <c r="O109" s="336"/>
      <c r="P109" s="533"/>
      <c r="Q109" s="336"/>
      <c r="R109" s="336"/>
      <c r="S109" s="339"/>
      <c r="T109" s="339"/>
    </row>
    <row r="110" spans="1:20" s="7" customFormat="1" ht="30" customHeight="1">
      <c r="A110" s="230"/>
      <c r="B110" s="231" t="str">
        <f>IF(C91=Ranges!$D$4,"APR Q.9, table 2, row 3, col 3","")</f>
        <v>APR Q.9, table 2, row 3, col 3</v>
      </c>
      <c r="C110" s="283" t="s">
        <v>145</v>
      </c>
      <c r="D110" s="291"/>
      <c r="E110" s="290"/>
      <c r="F110" s="62"/>
      <c r="G110" s="62"/>
      <c r="H110" s="243"/>
      <c r="I110" s="31"/>
      <c r="J110" s="385"/>
      <c r="K110" s="336"/>
      <c r="L110" s="336"/>
      <c r="M110" s="336"/>
      <c r="N110" s="336"/>
      <c r="O110" s="336"/>
      <c r="P110" s="533"/>
      <c r="Q110" s="336"/>
      <c r="R110" s="336"/>
      <c r="S110" s="339"/>
      <c r="T110" s="339"/>
    </row>
    <row r="111" spans="1:20" s="7" customFormat="1" ht="30" customHeight="1">
      <c r="A111" s="230"/>
      <c r="B111" s="231" t="str">
        <f>IF(C91=Ranges!$D$4,"APR Q.9, table 2, row 4, col 3","")</f>
        <v>APR Q.9, table 2, row 4, col 3</v>
      </c>
      <c r="C111" s="283" t="s">
        <v>146</v>
      </c>
      <c r="D111" s="291"/>
      <c r="E111" s="290"/>
      <c r="F111" s="62"/>
      <c r="G111" s="62"/>
      <c r="H111" s="243"/>
      <c r="I111" s="31"/>
      <c r="J111" s="385"/>
      <c r="K111" s="336"/>
      <c r="L111" s="336"/>
      <c r="M111" s="336"/>
      <c r="N111" s="336"/>
      <c r="O111" s="336"/>
      <c r="P111" s="533"/>
      <c r="Q111" s="336"/>
      <c r="R111" s="336"/>
      <c r="S111" s="339"/>
      <c r="T111" s="339"/>
    </row>
    <row r="112" spans="1:20" s="7" customFormat="1" ht="30" customHeight="1">
      <c r="A112" s="230"/>
      <c r="B112" s="307" t="str">
        <f>IF(C91=Ranges!$D$4,"Calculation","")</f>
        <v>Calculation</v>
      </c>
      <c r="C112" s="299" t="s">
        <v>147</v>
      </c>
      <c r="D112" s="310" t="str">
        <f>IF(ISBLANK(D111),"",AVERAGE(D108:D111))</f>
        <v/>
      </c>
      <c r="E112" s="290"/>
      <c r="F112" s="62"/>
      <c r="G112" s="62"/>
      <c r="H112" s="243"/>
      <c r="I112" s="31"/>
      <c r="J112" s="385"/>
      <c r="K112" s="336"/>
      <c r="L112" s="336"/>
      <c r="M112" s="336"/>
      <c r="N112" s="336"/>
      <c r="O112" s="336"/>
      <c r="P112" s="533"/>
      <c r="Q112" s="336"/>
      <c r="R112" s="336"/>
      <c r="S112" s="339"/>
      <c r="T112" s="339"/>
    </row>
    <row r="113" spans="1:20" s="7" customFormat="1" ht="30" customHeight="1">
      <c r="A113" s="254" t="str">
        <f>IF(C91=Ranges!$D$4,"Total PITC Households served - Average 2016","")</f>
        <v>Total PITC Households served - Average 2016</v>
      </c>
      <c r="B113" s="307" t="str">
        <f>IF(C91=Ranges!$D$4,"Calculation","")</f>
        <v>Calculation</v>
      </c>
      <c r="C113" s="10"/>
      <c r="D113" s="10" t="str">
        <f>IF(COUNT(D112)=0,"",D107+D112)</f>
        <v/>
      </c>
      <c r="E113" s="290"/>
      <c r="F113" s="63"/>
      <c r="G113" s="63"/>
      <c r="H113" s="41"/>
      <c r="I113" s="68"/>
      <c r="J113" s="385"/>
      <c r="K113" s="336"/>
      <c r="L113" s="336"/>
      <c r="M113" s="336"/>
      <c r="N113" s="336"/>
      <c r="O113" s="336"/>
      <c r="P113" s="533"/>
      <c r="Q113" s="336"/>
      <c r="R113" s="336"/>
      <c r="S113" s="339"/>
      <c r="T113" s="339"/>
    </row>
    <row r="114" spans="1:20" s="7" customFormat="1" ht="15" customHeight="1">
      <c r="A114" s="301"/>
      <c r="B114" s="234"/>
      <c r="C114" s="300"/>
      <c r="D114" s="285"/>
      <c r="E114" s="290"/>
      <c r="F114" s="63"/>
      <c r="G114" s="63"/>
      <c r="H114" s="41"/>
      <c r="I114" s="68"/>
      <c r="J114" s="385"/>
      <c r="K114" s="336"/>
      <c r="L114" s="336"/>
      <c r="M114" s="336"/>
      <c r="N114" s="336"/>
      <c r="O114" s="336"/>
      <c r="P114" s="533"/>
      <c r="Q114" s="336"/>
      <c r="R114" s="336"/>
      <c r="S114" s="339"/>
      <c r="T114" s="339"/>
    </row>
    <row r="115" spans="1:20" s="7" customFormat="1" ht="57.75" customHeight="1">
      <c r="A115" s="230" t="str">
        <f>IF(C91=Ranges!$D$4,"Total number of Beds HH without children","Not Applicable")</f>
        <v>Total number of Beds HH without children</v>
      </c>
      <c r="B115" s="234" t="str">
        <f>IF(C91=Ranges!$D$4,"2016 HIC","")</f>
        <v>2016 HIC</v>
      </c>
      <c r="C115" s="302"/>
      <c r="D115" s="311"/>
      <c r="E115" s="290"/>
      <c r="F115" s="626" t="s">
        <v>148</v>
      </c>
      <c r="G115" s="626"/>
      <c r="H115" s="290"/>
      <c r="I115" s="68"/>
      <c r="J115" s="385"/>
      <c r="K115" s="336"/>
      <c r="L115" s="336"/>
      <c r="M115" s="336"/>
      <c r="N115" s="336"/>
      <c r="O115" s="336"/>
      <c r="P115" s="533"/>
      <c r="Q115" s="336"/>
      <c r="R115" s="336"/>
      <c r="S115" s="339"/>
      <c r="T115" s="339"/>
    </row>
    <row r="116" spans="1:20" s="7" customFormat="1" ht="30" customHeight="1">
      <c r="A116" s="230" t="str">
        <f>IF(C91=Ranges!$D$4,"Total number of units for households with children","Not Applicable")</f>
        <v>Total number of units for households with children</v>
      </c>
      <c r="B116" s="234" t="str">
        <f>IF(C91=Ranges!$D$4,"2016 HIC","")</f>
        <v>2016 HIC</v>
      </c>
      <c r="C116" s="303"/>
      <c r="D116" s="311"/>
      <c r="E116" s="290"/>
      <c r="H116" s="290"/>
      <c r="I116" s="68"/>
      <c r="J116" s="385"/>
      <c r="K116" s="336"/>
      <c r="L116" s="336"/>
      <c r="M116" s="336"/>
      <c r="N116" s="336"/>
      <c r="O116" s="336"/>
      <c r="P116" s="533"/>
      <c r="Q116" s="336"/>
      <c r="R116" s="336"/>
      <c r="S116" s="339"/>
      <c r="T116" s="339"/>
    </row>
    <row r="117" spans="1:20" s="7" customFormat="1" ht="30" customHeight="1">
      <c r="A117" s="254" t="str">
        <f>IF(C91=Ranges!$D$4,"Total number of units","")</f>
        <v>Total number of units</v>
      </c>
      <c r="B117" s="308" t="str">
        <f>IF(C91=Ranges!$D$4,"Calculation","")</f>
        <v>Calculation</v>
      </c>
      <c r="C117" s="304"/>
      <c r="D117" s="10" t="str">
        <f>IF(AND(ISBLANK(D116),ISBLANK(D115)),"",D115+D116)</f>
        <v/>
      </c>
      <c r="E117" s="290"/>
      <c r="H117" s="290"/>
      <c r="I117" s="68"/>
      <c r="J117" s="385"/>
      <c r="K117" s="336"/>
      <c r="L117" s="336"/>
      <c r="M117" s="336"/>
      <c r="N117" s="336"/>
      <c r="O117" s="336"/>
      <c r="P117" s="533"/>
      <c r="Q117" s="336"/>
      <c r="R117" s="336"/>
      <c r="S117" s="339"/>
      <c r="T117" s="339"/>
    </row>
    <row r="118" spans="1:20" s="7" customFormat="1" ht="15" customHeight="1">
      <c r="A118" s="301"/>
      <c r="B118" s="234"/>
      <c r="C118" s="309"/>
      <c r="D118" s="309"/>
      <c r="E118" s="290"/>
      <c r="F118" s="290"/>
      <c r="G118" s="290"/>
      <c r="H118" s="290"/>
      <c r="I118" s="68"/>
      <c r="J118" s="385"/>
      <c r="K118" s="336"/>
      <c r="L118" s="336"/>
      <c r="M118" s="336"/>
      <c r="N118" s="336"/>
      <c r="O118" s="336"/>
      <c r="P118" s="533"/>
      <c r="Q118" s="336"/>
      <c r="R118" s="336"/>
      <c r="S118" s="339"/>
      <c r="T118" s="339"/>
    </row>
    <row r="119" spans="1:20" s="7" customFormat="1" ht="30" customHeight="1">
      <c r="A119" s="254" t="str">
        <f>IF(C91=Ranges!$D$4,"Bed utilization for households with and without children","Not Applicable")</f>
        <v>Bed utilization for households with and without children</v>
      </c>
      <c r="B119" s="308" t="str">
        <f>IF(C91=Ranges!$D$4,"Final Calculation","")</f>
        <v>Final Calculation</v>
      </c>
      <c r="C119" s="305"/>
      <c r="D119" s="288" t="str">
        <f>IF(D91=Ranges!$E$4,IF(OR(""=D113,""=D117),"",D113/D117),"")</f>
        <v/>
      </c>
      <c r="E119" s="290"/>
      <c r="F119" s="290"/>
      <c r="G119" s="290"/>
      <c r="H119" s="290"/>
      <c r="I119" s="68"/>
      <c r="J119" s="385"/>
      <c r="K119" s="336"/>
      <c r="L119" s="336"/>
      <c r="M119" s="336"/>
      <c r="N119" s="336"/>
      <c r="O119" s="336"/>
      <c r="P119" s="533"/>
      <c r="Q119" s="336"/>
      <c r="R119" s="336"/>
      <c r="S119" s="339"/>
      <c r="T119" s="339"/>
    </row>
    <row r="120" spans="1:20" s="7" customFormat="1" ht="12" customHeight="1">
      <c r="A120" s="40"/>
      <c r="B120" s="40"/>
      <c r="C120" s="312"/>
      <c r="D120" s="70"/>
      <c r="E120" s="71"/>
      <c r="F120" s="71"/>
      <c r="G120" s="71"/>
      <c r="H120" s="71"/>
      <c r="I120" s="68"/>
      <c r="J120" s="385"/>
      <c r="K120" s="336"/>
      <c r="L120" s="336"/>
      <c r="M120" s="336"/>
      <c r="N120" s="336"/>
      <c r="O120" s="336"/>
      <c r="P120" s="533"/>
      <c r="Q120" s="336"/>
      <c r="R120" s="336"/>
      <c r="S120" s="339"/>
      <c r="T120" s="339"/>
    </row>
    <row r="121" spans="1:20" s="7" customFormat="1" ht="18" customHeight="1">
      <c r="A121" s="478" t="s">
        <v>149</v>
      </c>
      <c r="B121" s="29"/>
      <c r="C121" s="28" t="s">
        <v>47</v>
      </c>
      <c r="D121" s="24">
        <f>SUM(G123:G126)</f>
        <v>0</v>
      </c>
      <c r="E121" s="29"/>
      <c r="F121" s="29"/>
      <c r="G121" s="27" t="s">
        <v>14</v>
      </c>
      <c r="H121" s="26">
        <v>4</v>
      </c>
      <c r="I121" s="31"/>
      <c r="J121" s="336"/>
      <c r="K121" s="385" t="s">
        <v>150</v>
      </c>
      <c r="L121" s="336"/>
      <c r="M121" s="336"/>
      <c r="N121" s="336"/>
      <c r="O121" s="336"/>
      <c r="P121" s="533"/>
      <c r="Q121" s="336"/>
      <c r="R121" s="336"/>
      <c r="S121" s="339"/>
      <c r="T121" s="339"/>
    </row>
    <row r="122" spans="1:20" s="7" customFormat="1" ht="36.75" customHeight="1">
      <c r="A122" s="253" t="s">
        <v>39</v>
      </c>
      <c r="B122" s="253" t="s">
        <v>40</v>
      </c>
      <c r="C122" s="253" t="s">
        <v>41</v>
      </c>
      <c r="D122" s="540" t="s">
        <v>42</v>
      </c>
      <c r="E122" s="540"/>
      <c r="F122" s="540"/>
      <c r="G122" s="253" t="s">
        <v>43</v>
      </c>
      <c r="H122" s="143" t="s">
        <v>44</v>
      </c>
      <c r="I122" s="31"/>
      <c r="J122" s="336"/>
      <c r="K122" s="385"/>
      <c r="L122" s="336"/>
      <c r="M122" s="336"/>
      <c r="N122" s="336"/>
      <c r="O122" s="336"/>
      <c r="P122" s="533"/>
      <c r="Q122" s="336"/>
      <c r="R122" s="336"/>
      <c r="S122" s="339"/>
      <c r="T122" s="339"/>
    </row>
    <row r="123" spans="1:20" ht="12" customHeight="1">
      <c r="A123" s="122" t="s">
        <v>108</v>
      </c>
      <c r="B123" s="123" t="s">
        <v>151</v>
      </c>
      <c r="C123" s="224" t="str">
        <f>IF(ISBLANK(H5),"",H5)</f>
        <v/>
      </c>
      <c r="D123" s="221">
        <f>K123</f>
        <v>1.1000000000000001</v>
      </c>
      <c r="E123" s="217" t="s">
        <v>65</v>
      </c>
      <c r="F123" s="522" t="s">
        <v>66</v>
      </c>
      <c r="G123" s="214" t="str">
        <f>IF(COUNT(C127)=0,"",IF(C127&gt;D123,H123,""))</f>
        <v/>
      </c>
      <c r="H123" s="222">
        <v>0</v>
      </c>
      <c r="I123" s="68"/>
      <c r="J123" s="336"/>
      <c r="K123" s="393">
        <v>1.1000000000000001</v>
      </c>
      <c r="L123" s="385" t="s">
        <v>152</v>
      </c>
      <c r="M123" s="336"/>
      <c r="N123" s="336"/>
      <c r="O123" s="336"/>
      <c r="P123" s="336"/>
      <c r="Q123" s="336"/>
      <c r="R123" s="336"/>
    </row>
    <row r="124" spans="1:20" ht="12" customHeight="1">
      <c r="A124" s="520" t="s">
        <v>153</v>
      </c>
      <c r="B124" s="122" t="s">
        <v>154</v>
      </c>
      <c r="C124" s="73"/>
      <c r="D124" s="221">
        <f>F124-K124</f>
        <v>1</v>
      </c>
      <c r="E124" s="217" t="s">
        <v>121</v>
      </c>
      <c r="F124" s="522">
        <f>K123</f>
        <v>1.1000000000000001</v>
      </c>
      <c r="G124" s="214" t="str">
        <f>IF(OR(D124=$C$127,AND(D124&lt;$C$127, F124&gt;$C$127)),H124,"")</f>
        <v/>
      </c>
      <c r="H124" s="222">
        <f>H123+K$126</f>
        <v>1</v>
      </c>
      <c r="I124" s="41" t="s">
        <v>36</v>
      </c>
      <c r="J124" s="336"/>
      <c r="K124" s="394">
        <v>0.1</v>
      </c>
      <c r="L124" s="385" t="s">
        <v>155</v>
      </c>
      <c r="M124" s="336"/>
      <c r="N124" s="336"/>
      <c r="O124" s="336"/>
      <c r="P124" s="336"/>
      <c r="Q124" s="336"/>
      <c r="R124" s="336"/>
    </row>
    <row r="125" spans="1:20" ht="12" customHeight="1">
      <c r="A125" s="520" t="s">
        <v>156</v>
      </c>
      <c r="B125" s="125" t="s">
        <v>99</v>
      </c>
      <c r="C125" s="246" t="str">
        <f>IF(COUNT(C124)=0,"",C124/C123)</f>
        <v/>
      </c>
      <c r="D125" s="221">
        <f>K123-(4*K124)</f>
        <v>0.70000000000000007</v>
      </c>
      <c r="E125" s="217" t="s">
        <v>157</v>
      </c>
      <c r="F125" s="522">
        <f>K123-K124</f>
        <v>1</v>
      </c>
      <c r="G125" s="214" t="str">
        <f>IF(OR(D125=$C$127,AND(D125&lt;$C$127, F125&gt;$C$127)),H125,"")</f>
        <v/>
      </c>
      <c r="H125" s="222">
        <f>H124+K$126</f>
        <v>2</v>
      </c>
      <c r="I125" s="68"/>
      <c r="J125" s="336"/>
      <c r="K125" s="31">
        <f>H121</f>
        <v>4</v>
      </c>
      <c r="L125" s="385" t="s">
        <v>63</v>
      </c>
      <c r="M125" s="336"/>
      <c r="N125" s="336"/>
      <c r="O125" s="336"/>
      <c r="P125" s="336"/>
      <c r="Q125" s="336"/>
      <c r="R125" s="336"/>
    </row>
    <row r="126" spans="1:20" ht="12" customHeight="1">
      <c r="A126" s="528" t="s">
        <v>158</v>
      </c>
      <c r="B126" s="521" t="s">
        <v>159</v>
      </c>
      <c r="C126" s="251"/>
      <c r="D126" s="221">
        <v>0</v>
      </c>
      <c r="E126" s="217" t="s">
        <v>50</v>
      </c>
      <c r="F126" s="522">
        <f>K123-(4*K124)</f>
        <v>0.70000000000000007</v>
      </c>
      <c r="G126" s="214" t="str">
        <f>IF(OR(D126=$C$127,AND(D126&lt;$C$127, F126&gt;$C$127)),H126,"")</f>
        <v/>
      </c>
      <c r="H126" s="222">
        <f>H125+(2*K$126)</f>
        <v>4</v>
      </c>
      <c r="I126" s="68"/>
      <c r="J126" s="336"/>
      <c r="K126" s="31">
        <f>K125/4</f>
        <v>1</v>
      </c>
      <c r="L126" s="356" t="s">
        <v>160</v>
      </c>
      <c r="M126" s="533"/>
      <c r="N126" s="336"/>
      <c r="O126" s="336"/>
      <c r="P126" s="336"/>
      <c r="Q126" s="336"/>
      <c r="R126" s="336"/>
    </row>
    <row r="127" spans="1:20" ht="25">
      <c r="A127" s="261" t="s">
        <v>161</v>
      </c>
      <c r="B127" s="117" t="s">
        <v>99</v>
      </c>
      <c r="C127" s="248" t="str">
        <f>IF(COUNT(C126)=0,"",C125/C126)</f>
        <v/>
      </c>
      <c r="D127" s="16"/>
      <c r="E127" s="16"/>
      <c r="F127" s="16"/>
      <c r="G127" s="48"/>
      <c r="H127" s="48"/>
      <c r="I127" s="68"/>
      <c r="J127" s="336"/>
      <c r="K127" s="336"/>
      <c r="L127" s="336"/>
      <c r="M127" s="336"/>
      <c r="N127" s="336"/>
      <c r="O127" s="336"/>
      <c r="P127" s="336"/>
      <c r="Q127" s="336"/>
      <c r="R127" s="336"/>
    </row>
    <row r="128" spans="1:20" ht="12" customHeight="1">
      <c r="A128" s="63"/>
      <c r="B128" s="259"/>
      <c r="C128" s="260"/>
      <c r="D128" s="16"/>
      <c r="E128" s="16"/>
      <c r="F128" s="16"/>
      <c r="G128" s="48"/>
      <c r="H128" s="48"/>
      <c r="I128" s="68"/>
      <c r="J128" s="336"/>
      <c r="K128" s="336"/>
      <c r="L128" s="336"/>
      <c r="M128" s="336"/>
      <c r="N128" s="336"/>
      <c r="O128" s="336"/>
      <c r="P128" s="336"/>
      <c r="Q128" s="336"/>
      <c r="R128" s="336"/>
    </row>
    <row r="129" spans="1:20" s="7" customFormat="1" ht="18" customHeight="1">
      <c r="A129" s="478" t="s">
        <v>162</v>
      </c>
      <c r="B129" s="29"/>
      <c r="C129" s="28" t="s">
        <v>47</v>
      </c>
      <c r="D129" s="24">
        <f>SUM(G131:G134)</f>
        <v>0</v>
      </c>
      <c r="E129" s="29"/>
      <c r="F129" s="29"/>
      <c r="G129" s="27" t="s">
        <v>14</v>
      </c>
      <c r="H129" s="26">
        <v>4</v>
      </c>
      <c r="I129" s="31"/>
      <c r="J129" s="336"/>
      <c r="K129" s="385" t="s">
        <v>150</v>
      </c>
      <c r="L129" s="336"/>
      <c r="M129" s="336"/>
      <c r="N129" s="336"/>
      <c r="O129" s="336"/>
      <c r="P129" s="533"/>
      <c r="Q129" s="336"/>
      <c r="R129" s="336"/>
      <c r="S129" s="337"/>
      <c r="T129" s="339"/>
    </row>
    <row r="130" spans="1:20" s="7" customFormat="1" ht="44.25" customHeight="1">
      <c r="A130" s="253" t="s">
        <v>39</v>
      </c>
      <c r="B130" s="253" t="s">
        <v>40</v>
      </c>
      <c r="C130" s="253" t="s">
        <v>41</v>
      </c>
      <c r="D130" s="540" t="s">
        <v>42</v>
      </c>
      <c r="E130" s="540"/>
      <c r="F130" s="540"/>
      <c r="G130" s="253" t="s">
        <v>43</v>
      </c>
      <c r="H130" s="143" t="s">
        <v>44</v>
      </c>
      <c r="I130" s="31"/>
      <c r="J130" s="336"/>
      <c r="K130" s="385"/>
      <c r="L130" s="336"/>
      <c r="M130" s="336"/>
      <c r="N130" s="336"/>
      <c r="O130" s="336"/>
      <c r="P130" s="533"/>
      <c r="Q130" s="336"/>
      <c r="R130" s="336"/>
      <c r="S130" s="339"/>
      <c r="T130" s="339"/>
    </row>
    <row r="131" spans="1:20" ht="12" customHeight="1">
      <c r="A131" s="122" t="s">
        <v>108</v>
      </c>
      <c r="B131" s="123" t="s">
        <v>151</v>
      </c>
      <c r="C131" s="224" t="str">
        <f>IF(ISBLANK(H5),"",H5)</f>
        <v/>
      </c>
      <c r="D131" s="221">
        <f>K131</f>
        <v>1.1000000000000001</v>
      </c>
      <c r="E131" s="217" t="s">
        <v>65</v>
      </c>
      <c r="F131" s="522" t="s">
        <v>66</v>
      </c>
      <c r="G131" s="214" t="str">
        <f>IF(COUNT(C135)=0,"",IF(C135&gt;D131,H131,""))</f>
        <v/>
      </c>
      <c r="H131" s="222">
        <v>0</v>
      </c>
      <c r="I131" s="68"/>
      <c r="J131" s="336"/>
      <c r="K131" s="393">
        <v>1.1000000000000001</v>
      </c>
      <c r="L131" s="385" t="s">
        <v>152</v>
      </c>
      <c r="M131" s="336"/>
      <c r="N131" s="336"/>
      <c r="O131" s="336"/>
      <c r="P131" s="336"/>
      <c r="Q131" s="336"/>
      <c r="R131" s="336"/>
    </row>
    <row r="132" spans="1:20" ht="12" customHeight="1">
      <c r="A132" s="520" t="s">
        <v>163</v>
      </c>
      <c r="B132" s="122" t="s">
        <v>164</v>
      </c>
      <c r="C132" s="73"/>
      <c r="D132" s="221">
        <f>F132-K132</f>
        <v>1</v>
      </c>
      <c r="E132" s="217" t="s">
        <v>121</v>
      </c>
      <c r="F132" s="522">
        <f>K131</f>
        <v>1.1000000000000001</v>
      </c>
      <c r="G132" s="214" t="str">
        <f>IF(OR(D132=$C$135,AND(D132&lt;$C$135, F132&gt;$C$135)),H132,"")</f>
        <v/>
      </c>
      <c r="H132" s="222">
        <f>H131+K$126</f>
        <v>1</v>
      </c>
      <c r="I132" s="41" t="s">
        <v>36</v>
      </c>
      <c r="J132" s="336"/>
      <c r="K132" s="394">
        <v>0.1</v>
      </c>
      <c r="L132" s="385" t="s">
        <v>155</v>
      </c>
      <c r="M132" s="336"/>
      <c r="N132" s="336"/>
      <c r="O132" s="336"/>
      <c r="P132" s="336"/>
      <c r="Q132" s="336"/>
      <c r="R132" s="336"/>
    </row>
    <row r="133" spans="1:20" ht="12" customHeight="1">
      <c r="A133" s="520" t="s">
        <v>156</v>
      </c>
      <c r="B133" s="125" t="s">
        <v>99</v>
      </c>
      <c r="C133" s="246" t="str">
        <f>IF(ISBLANK(C132),"",$C132/C131)</f>
        <v/>
      </c>
      <c r="D133" s="221">
        <f>K131-(4*K132)</f>
        <v>0.70000000000000007</v>
      </c>
      <c r="E133" s="217" t="s">
        <v>157</v>
      </c>
      <c r="F133" s="522">
        <f>K131-K132</f>
        <v>1</v>
      </c>
      <c r="G133" s="214" t="str">
        <f>IF(OR(D133=$C$135,AND(D133&lt;$C$135, F133&gt;$C$135)),H133,"")</f>
        <v/>
      </c>
      <c r="H133" s="222">
        <f>H132+K$126</f>
        <v>2</v>
      </c>
      <c r="I133" s="68"/>
      <c r="J133" s="336"/>
      <c r="K133" s="31">
        <f>H129</f>
        <v>4</v>
      </c>
      <c r="L133" s="385" t="s">
        <v>63</v>
      </c>
      <c r="M133" s="336"/>
      <c r="N133" s="336"/>
      <c r="O133" s="336"/>
      <c r="P133" s="336"/>
      <c r="Q133" s="336"/>
      <c r="R133" s="336"/>
    </row>
    <row r="134" spans="1:20" ht="12" customHeight="1">
      <c r="A134" s="528" t="s">
        <v>158</v>
      </c>
      <c r="B134" s="521" t="s">
        <v>165</v>
      </c>
      <c r="C134" s="251"/>
      <c r="D134" s="221">
        <v>0</v>
      </c>
      <c r="E134" s="217" t="s">
        <v>106</v>
      </c>
      <c r="F134" s="522">
        <f>K131-(4*K132)</f>
        <v>0.70000000000000007</v>
      </c>
      <c r="G134" s="214" t="str">
        <f>IF(OR(D134=$C$135,AND(D134&lt;$C$135, F134&gt;$C$135)),H134,"")</f>
        <v/>
      </c>
      <c r="H134" s="222">
        <f>H133+(2*K$126)</f>
        <v>4</v>
      </c>
      <c r="I134" s="68"/>
      <c r="J134" s="336"/>
      <c r="K134" s="31">
        <f>K133/4</f>
        <v>1</v>
      </c>
      <c r="L134" s="356" t="s">
        <v>160</v>
      </c>
      <c r="M134" s="533"/>
      <c r="N134" s="336"/>
      <c r="O134" s="336"/>
      <c r="P134" s="336"/>
      <c r="Q134" s="336"/>
      <c r="R134" s="336"/>
    </row>
    <row r="135" spans="1:20" ht="25">
      <c r="A135" s="261" t="s">
        <v>166</v>
      </c>
      <c r="B135" s="117" t="s">
        <v>99</v>
      </c>
      <c r="C135" s="248" t="str">
        <f>IF(COUNT(C134)=0,"",C133/C134)</f>
        <v/>
      </c>
      <c r="D135" s="16"/>
      <c r="E135" s="16"/>
      <c r="F135" s="16"/>
      <c r="G135" s="48"/>
      <c r="H135" s="48"/>
      <c r="I135" s="68"/>
      <c r="J135" s="336"/>
      <c r="K135" s="336"/>
      <c r="L135" s="336"/>
      <c r="M135" s="336"/>
      <c r="N135" s="336"/>
      <c r="O135" s="336"/>
      <c r="P135" s="336"/>
      <c r="Q135" s="336"/>
      <c r="R135" s="336"/>
    </row>
    <row r="136" spans="1:20" ht="12" customHeight="1">
      <c r="A136" s="63"/>
      <c r="B136" s="259"/>
      <c r="C136" s="260"/>
      <c r="D136" s="16"/>
      <c r="E136" s="16"/>
      <c r="F136" s="16"/>
      <c r="G136" s="48"/>
      <c r="H136" s="48"/>
      <c r="I136" s="68"/>
      <c r="J136" s="336"/>
      <c r="K136" s="336"/>
      <c r="L136" s="336"/>
      <c r="M136" s="336"/>
      <c r="N136" s="336"/>
      <c r="O136" s="336"/>
      <c r="P136" s="336"/>
      <c r="Q136" s="336"/>
      <c r="R136" s="336"/>
    </row>
    <row r="137" spans="1:20" s="7" customFormat="1" ht="36" customHeight="1">
      <c r="A137" s="30" t="s">
        <v>167</v>
      </c>
      <c r="B137" s="492" t="s">
        <v>168</v>
      </c>
      <c r="C137" s="28" t="s">
        <v>47</v>
      </c>
      <c r="D137" s="24">
        <f>H140</f>
        <v>0</v>
      </c>
      <c r="E137" s="29"/>
      <c r="F137" s="29"/>
      <c r="G137" s="27" t="s">
        <v>14</v>
      </c>
      <c r="H137" s="26">
        <v>5</v>
      </c>
      <c r="I137" s="31"/>
      <c r="J137" s="336"/>
      <c r="K137" s="336"/>
      <c r="L137" s="336"/>
      <c r="M137" s="336"/>
      <c r="N137" s="336"/>
      <c r="O137" s="336"/>
      <c r="P137" s="533"/>
      <c r="Q137" s="336"/>
      <c r="R137" s="336"/>
      <c r="S137" s="339"/>
      <c r="T137" s="339"/>
    </row>
    <row r="138" spans="1:20" ht="12.75" customHeight="1">
      <c r="A138" s="122" t="s">
        <v>169</v>
      </c>
      <c r="B138" s="123" t="s">
        <v>170</v>
      </c>
      <c r="C138" s="189"/>
      <c r="D138" s="74"/>
      <c r="E138" s="75"/>
      <c r="F138" s="76"/>
      <c r="G138" s="68"/>
      <c r="H138" s="18"/>
      <c r="I138" s="395"/>
      <c r="J138" s="336"/>
      <c r="K138" s="336"/>
      <c r="L138" s="336"/>
      <c r="M138" s="336"/>
      <c r="N138" s="336"/>
      <c r="O138" s="336"/>
      <c r="P138" s="336"/>
      <c r="Q138" s="336"/>
      <c r="R138" s="336"/>
    </row>
    <row r="139" spans="1:20" ht="12.75" customHeight="1">
      <c r="A139" s="528" t="s">
        <v>171</v>
      </c>
      <c r="B139" s="528" t="s">
        <v>172</v>
      </c>
      <c r="C139" s="189"/>
      <c r="D139" s="74"/>
      <c r="E139" s="75"/>
      <c r="F139" s="76"/>
      <c r="G139" s="41"/>
      <c r="H139" s="529"/>
      <c r="I139" s="68"/>
      <c r="J139" s="533"/>
      <c r="K139" s="533"/>
      <c r="L139" s="533"/>
      <c r="M139" s="533"/>
      <c r="N139" s="533"/>
      <c r="O139" s="533"/>
      <c r="P139" s="533"/>
      <c r="Q139" s="533"/>
      <c r="R139" s="336"/>
    </row>
    <row r="140" spans="1:20" ht="12.75" customHeight="1">
      <c r="A140" s="238" t="s">
        <v>173</v>
      </c>
      <c r="B140" s="121" t="s">
        <v>99</v>
      </c>
      <c r="C140" s="80" t="str">
        <f>IF(ISBLANK(C139),"",C138/C139)</f>
        <v/>
      </c>
      <c r="D140" s="74"/>
      <c r="E140" s="593" t="s">
        <v>174</v>
      </c>
      <c r="F140" s="594"/>
      <c r="G140" s="595"/>
      <c r="H140" s="624">
        <f>IF(C143="",0,IF(OR(C143&gt;0.95,C143=0.95),5,IF(OR(ISBLANK(C138),C138=0,ISBLANK(C139),C139=0,ISBLANK(C141),C141=0),"",0)))</f>
        <v>0</v>
      </c>
      <c r="I140" s="68"/>
      <c r="J140" s="533"/>
      <c r="K140" s="533"/>
      <c r="L140" s="533"/>
      <c r="M140" s="533"/>
      <c r="N140" s="533"/>
      <c r="O140" s="533"/>
      <c r="P140" s="533"/>
      <c r="Q140" s="533"/>
      <c r="R140" s="336"/>
    </row>
    <row r="141" spans="1:20" ht="12.5">
      <c r="A141" s="590" t="s">
        <v>175</v>
      </c>
      <c r="B141" s="590"/>
      <c r="C141" s="241"/>
      <c r="D141" s="74"/>
      <c r="E141" s="596"/>
      <c r="F141" s="597"/>
      <c r="G141" s="598"/>
      <c r="H141" s="625"/>
      <c r="I141" s="68"/>
      <c r="J141" s="533"/>
      <c r="K141" s="533"/>
      <c r="L141" s="533"/>
      <c r="M141" s="533"/>
      <c r="N141" s="533"/>
      <c r="O141" s="533"/>
      <c r="P141" s="533"/>
      <c r="Q141" s="533"/>
      <c r="R141" s="336"/>
    </row>
    <row r="142" spans="1:20" ht="12.75" customHeight="1">
      <c r="A142" s="589" t="s">
        <v>176</v>
      </c>
      <c r="B142" s="589"/>
      <c r="C142" s="79" t="str">
        <f>IF(ISBLANK(C141),"",C141/12)</f>
        <v/>
      </c>
      <c r="D142" s="63"/>
      <c r="E142" s="63"/>
      <c r="F142" s="63"/>
      <c r="G142" s="77"/>
      <c r="H142" s="525"/>
      <c r="I142" s="68"/>
      <c r="J142" s="533" t="s">
        <v>36</v>
      </c>
      <c r="K142" s="533"/>
      <c r="L142" s="533"/>
      <c r="M142" s="533"/>
      <c r="N142" s="533"/>
      <c r="O142" s="533"/>
      <c r="P142" s="533"/>
      <c r="Q142" s="533"/>
      <c r="R142" s="336"/>
    </row>
    <row r="143" spans="1:20" s="7" customFormat="1" ht="29.25" customHeight="1">
      <c r="A143" s="122" t="s">
        <v>177</v>
      </c>
      <c r="B143" s="125" t="s">
        <v>99</v>
      </c>
      <c r="C143" s="242" t="str">
        <f>IF(OR(C142=0,C139=0),"",C140/C142)</f>
        <v/>
      </c>
      <c r="D143" s="63"/>
      <c r="E143" s="63"/>
      <c r="F143" s="63"/>
      <c r="G143" s="77"/>
      <c r="H143" s="525"/>
      <c r="I143" s="68"/>
      <c r="J143" s="533"/>
      <c r="K143" s="533"/>
      <c r="L143" s="533"/>
      <c r="M143" s="533"/>
      <c r="N143" s="533"/>
      <c r="O143" s="533"/>
      <c r="P143" s="533"/>
      <c r="Q143" s="533"/>
      <c r="R143" s="336"/>
      <c r="S143" s="339"/>
      <c r="T143" s="339"/>
    </row>
    <row r="144" spans="1:20" s="7" customFormat="1" ht="19" customHeight="1" thickBot="1">
      <c r="A144" s="53"/>
      <c r="B144" s="33"/>
      <c r="C144" s="84"/>
      <c r="D144" s="63"/>
      <c r="E144" s="63"/>
      <c r="F144" s="63"/>
      <c r="G144" s="77"/>
      <c r="H144" s="525"/>
      <c r="I144" s="68"/>
      <c r="J144" s="533"/>
      <c r="K144" s="533"/>
      <c r="L144" s="533"/>
      <c r="M144" s="533"/>
      <c r="N144" s="533"/>
      <c r="O144" s="533"/>
      <c r="P144" s="533"/>
      <c r="Q144" s="533"/>
      <c r="R144" s="336"/>
      <c r="S144" s="339"/>
      <c r="T144" s="339"/>
    </row>
    <row r="145" spans="1:26" s="59" customFormat="1" ht="20.149999999999999" customHeight="1" thickTop="1" thickBot="1">
      <c r="A145" s="114" t="s">
        <v>178</v>
      </c>
      <c r="B145" s="61"/>
      <c r="C145" s="60" t="s">
        <v>38</v>
      </c>
      <c r="D145" s="555">
        <f>SUM(D147,D155+D163+D172)</f>
        <v>0</v>
      </c>
      <c r="E145" s="556"/>
      <c r="F145" s="557"/>
      <c r="G145" s="58" t="s">
        <v>14</v>
      </c>
      <c r="H145" s="104">
        <f xml:space="preserve"> SUM(H147,H155,H163,H172)</f>
        <v>26</v>
      </c>
      <c r="I145" s="345"/>
      <c r="J145" s="346"/>
      <c r="K145" s="346"/>
      <c r="L145" s="347"/>
      <c r="M145" s="348"/>
      <c r="N145" s="348"/>
      <c r="O145" s="348"/>
      <c r="P145" s="348"/>
      <c r="Q145" s="348"/>
      <c r="R145" s="348"/>
      <c r="S145" s="349"/>
      <c r="T145" s="351"/>
      <c r="U145" s="316"/>
      <c r="V145" s="316"/>
      <c r="W145" s="316"/>
      <c r="X145" s="316"/>
      <c r="Y145" s="316"/>
      <c r="Z145" s="316"/>
    </row>
    <row r="146" spans="1:26" s="51" customFormat="1" ht="45" customHeight="1" thickTop="1">
      <c r="A146" s="514" t="s">
        <v>39</v>
      </c>
      <c r="B146" s="514" t="s">
        <v>40</v>
      </c>
      <c r="C146" s="514" t="s">
        <v>41</v>
      </c>
      <c r="D146" s="540" t="s">
        <v>42</v>
      </c>
      <c r="E146" s="540"/>
      <c r="F146" s="540"/>
      <c r="G146" s="514" t="s">
        <v>43</v>
      </c>
      <c r="H146" s="514" t="s">
        <v>44</v>
      </c>
      <c r="I146" s="352"/>
      <c r="J146" s="353" t="s">
        <v>45</v>
      </c>
      <c r="K146" s="354"/>
      <c r="L146" s="354"/>
      <c r="M146" s="354"/>
      <c r="N146" s="354"/>
      <c r="O146" s="354"/>
      <c r="P146" s="354"/>
      <c r="Q146" s="354"/>
      <c r="R146" s="354"/>
      <c r="S146" s="359"/>
      <c r="T146" s="396"/>
      <c r="U146" s="315"/>
      <c r="V146" s="315"/>
      <c r="W146" s="315"/>
      <c r="X146" s="315"/>
      <c r="Y146" s="315"/>
      <c r="Z146" s="315"/>
    </row>
    <row r="147" spans="1:26" s="7" customFormat="1" ht="35.25" customHeight="1">
      <c r="A147" s="599" t="s">
        <v>179</v>
      </c>
      <c r="B147" s="600"/>
      <c r="C147" s="28" t="s">
        <v>47</v>
      </c>
      <c r="D147" s="24">
        <f>SUM(G148:G153)</f>
        <v>0</v>
      </c>
      <c r="E147" s="29"/>
      <c r="F147" s="29"/>
      <c r="G147" s="27" t="s">
        <v>14</v>
      </c>
      <c r="H147" s="26">
        <v>5</v>
      </c>
      <c r="I147" s="68"/>
      <c r="J147" s="356"/>
      <c r="K147" s="68"/>
      <c r="L147" s="68"/>
      <c r="M147" s="533"/>
      <c r="N147" s="533"/>
      <c r="O147" s="533"/>
      <c r="P147" s="533"/>
      <c r="Q147" s="533"/>
      <c r="R147" s="336"/>
      <c r="S147" s="339"/>
      <c r="T147" s="339"/>
    </row>
    <row r="148" spans="1:26" ht="30.75" customHeight="1">
      <c r="A148" s="589" t="s">
        <v>180</v>
      </c>
      <c r="B148" s="589"/>
      <c r="C148" s="82" t="s">
        <v>181</v>
      </c>
      <c r="D148" s="221">
        <v>0</v>
      </c>
      <c r="E148" s="217" t="s">
        <v>106</v>
      </c>
      <c r="F148" s="522">
        <f>J149</f>
        <v>0.25</v>
      </c>
      <c r="G148" s="214" t="str">
        <f>IF(F148&gt;C151,H148,"")</f>
        <v/>
      </c>
      <c r="H148" s="222">
        <v>0</v>
      </c>
      <c r="I148" s="513"/>
      <c r="J148" s="361">
        <v>0.5</v>
      </c>
      <c r="K148" s="533" t="s">
        <v>97</v>
      </c>
      <c r="L148" s="68"/>
      <c r="M148" s="533"/>
      <c r="N148" s="533"/>
      <c r="O148" s="533"/>
      <c r="P148" s="533"/>
      <c r="Q148" s="533"/>
      <c r="R148" s="336"/>
      <c r="U148" s="8"/>
      <c r="V148" s="8"/>
    </row>
    <row r="149" spans="1:26" ht="30.75" customHeight="1">
      <c r="A149" s="527" t="str">
        <f>IF(C148="SELECT YES OR NO","",IF(C148="YES","This input is not applicable to TAY programs.","Number of Chronically Homeless Served"))</f>
        <v>Number of Chronically Homeless Served</v>
      </c>
      <c r="B149" s="521" t="str">
        <f>IF(C148="SELECT YES OR NO","",IF(C148="YES","","HMIS and RTFH Custom Report"))</f>
        <v>HMIS and RTFH Custom Report</v>
      </c>
      <c r="C149" s="11"/>
      <c r="D149" s="221">
        <f>F148</f>
        <v>0.25</v>
      </c>
      <c r="E149" s="217" t="s">
        <v>54</v>
      </c>
      <c r="F149" s="522">
        <f>D149+$J$150</f>
        <v>0.4</v>
      </c>
      <c r="G149" s="214" t="str">
        <f>IF(OR(D149=$C$151,AND(D149&lt;$C$151, F149&gt;$C$151)),H149,"")</f>
        <v/>
      </c>
      <c r="H149" s="222">
        <f>H148+J$152</f>
        <v>1</v>
      </c>
      <c r="I149" s="513"/>
      <c r="J149" s="372">
        <f>0.5*J148</f>
        <v>0.25</v>
      </c>
      <c r="K149" s="533" t="s">
        <v>83</v>
      </c>
      <c r="L149" s="68"/>
      <c r="M149" s="533"/>
      <c r="N149" s="533"/>
      <c r="O149" s="533"/>
      <c r="P149" s="533"/>
      <c r="Q149" s="533"/>
      <c r="R149" s="336"/>
      <c r="U149" s="8"/>
      <c r="V149" s="8"/>
    </row>
    <row r="150" spans="1:26" ht="30.75" customHeight="1">
      <c r="A150" s="527" t="str">
        <f>IF(C148="SELECT YES OR NO","",IF(C148="YES","This input is not applicable to TAY programs.","Total Persons "))</f>
        <v xml:space="preserve">Total Persons </v>
      </c>
      <c r="B150" s="521" t="str">
        <f>IF(C148="SELECT YES OR NO","",IF(C148="YES","","HMIS - APR Q7, Cell H5 "))</f>
        <v xml:space="preserve">HMIS - APR Q7, Cell H5 </v>
      </c>
      <c r="C150" s="535">
        <f>H5</f>
        <v>0</v>
      </c>
      <c r="D150" s="221">
        <f t="shared" ref="D150:D153" si="9">F149</f>
        <v>0.4</v>
      </c>
      <c r="E150" s="217" t="s">
        <v>54</v>
      </c>
      <c r="F150" s="522">
        <f>D150+$J$150</f>
        <v>0.55000000000000004</v>
      </c>
      <c r="G150" s="214" t="str">
        <f>IF(OR(D150=$C$151,AND(D150&lt;$C$151, F150&gt;$C$151)),H150,"")</f>
        <v/>
      </c>
      <c r="H150" s="222">
        <f>H149+J$152</f>
        <v>2</v>
      </c>
      <c r="I150" s="68"/>
      <c r="J150" s="372">
        <f>(1-J149)/5</f>
        <v>0.15</v>
      </c>
      <c r="K150" s="533" t="s">
        <v>84</v>
      </c>
      <c r="L150" s="68"/>
      <c r="M150" s="68"/>
      <c r="N150" s="533"/>
      <c r="O150" s="533"/>
      <c r="P150" s="533"/>
      <c r="Q150" s="533"/>
      <c r="R150" s="336"/>
    </row>
    <row r="151" spans="1:26" ht="30.75" customHeight="1">
      <c r="A151" s="601" t="s">
        <v>182</v>
      </c>
      <c r="B151" s="602"/>
      <c r="C151" s="237" t="str">
        <f>IF(C148="SELECT YES OR NO","",IF(C148="yes",1,IF(COUNT(C149:C150)=2,C149/C150,"")))</f>
        <v/>
      </c>
      <c r="D151" s="221">
        <f t="shared" si="9"/>
        <v>0.55000000000000004</v>
      </c>
      <c r="E151" s="217" t="s">
        <v>54</v>
      </c>
      <c r="F151" s="522">
        <f>D151+$J$150</f>
        <v>0.70000000000000007</v>
      </c>
      <c r="G151" s="214" t="str">
        <f>IF(OR(D151=$C$151,AND(D151&lt;$C$151, F151&gt;$C$151)),H151,"")</f>
        <v/>
      </c>
      <c r="H151" s="222">
        <f>H150+J$152</f>
        <v>3</v>
      </c>
      <c r="I151" s="357"/>
      <c r="J151" s="357">
        <f>H147</f>
        <v>5</v>
      </c>
      <c r="K151" s="533" t="s">
        <v>63</v>
      </c>
      <c r="L151" s="68"/>
      <c r="M151" s="68"/>
      <c r="N151" s="533"/>
      <c r="O151" s="533"/>
      <c r="P151" s="533"/>
      <c r="Q151" s="533"/>
      <c r="R151" s="336"/>
    </row>
    <row r="152" spans="1:26" ht="30.75" customHeight="1">
      <c r="A152" s="488" t="s">
        <v>183</v>
      </c>
      <c r="B152" s="106"/>
      <c r="C152" s="107"/>
      <c r="D152" s="221">
        <f t="shared" si="9"/>
        <v>0.70000000000000007</v>
      </c>
      <c r="E152" s="217" t="s">
        <v>54</v>
      </c>
      <c r="F152" s="522">
        <f>D152+$J$150</f>
        <v>0.85000000000000009</v>
      </c>
      <c r="G152" s="214" t="str">
        <f>IF(OR(D152=$C$151,AND(D152&lt;$C$151, F152&gt;$C$151)),H152,"")</f>
        <v/>
      </c>
      <c r="H152" s="222">
        <f>H151+J$152</f>
        <v>4</v>
      </c>
      <c r="I152" s="357"/>
      <c r="J152" s="31">
        <f>J151/5</f>
        <v>1</v>
      </c>
      <c r="K152" s="336" t="s">
        <v>184</v>
      </c>
      <c r="L152" s="336"/>
      <c r="M152" s="68"/>
      <c r="N152" s="533"/>
      <c r="O152" s="533"/>
      <c r="P152" s="533"/>
      <c r="Q152" s="533"/>
      <c r="R152" s="336"/>
    </row>
    <row r="153" spans="1:26" ht="30.75" customHeight="1">
      <c r="B153" s="40"/>
      <c r="C153" s="108"/>
      <c r="D153" s="221">
        <f t="shared" si="9"/>
        <v>0.85000000000000009</v>
      </c>
      <c r="E153" s="217" t="s">
        <v>91</v>
      </c>
      <c r="F153" s="465" t="s">
        <v>66</v>
      </c>
      <c r="G153" s="214" t="str">
        <f>IF(C151="","",IF(OR(D153=$C$151,D153&lt;$C$151),H153,""))</f>
        <v/>
      </c>
      <c r="H153" s="222">
        <f>H152+J$152</f>
        <v>5</v>
      </c>
      <c r="I153" s="357"/>
      <c r="J153" s="336"/>
      <c r="K153" s="336"/>
      <c r="L153" s="336"/>
      <c r="M153" s="68"/>
      <c r="N153" s="533"/>
      <c r="O153" s="533"/>
      <c r="P153" s="533"/>
      <c r="Q153" s="533"/>
      <c r="R153" s="336"/>
    </row>
    <row r="154" spans="1:26" ht="15" customHeight="1">
      <c r="A154" s="111"/>
      <c r="B154" s="40"/>
      <c r="C154" s="108"/>
      <c r="D154" s="470"/>
      <c r="E154" s="471"/>
      <c r="F154" s="472"/>
      <c r="G154" s="149"/>
      <c r="H154" s="150"/>
      <c r="I154" s="357"/>
      <c r="J154" s="336"/>
      <c r="K154" s="336"/>
      <c r="L154" s="336"/>
      <c r="M154" s="68"/>
      <c r="N154" s="533"/>
      <c r="O154" s="533"/>
      <c r="P154" s="533"/>
      <c r="Q154" s="533"/>
      <c r="R154" s="336"/>
    </row>
    <row r="155" spans="1:26" ht="18" customHeight="1">
      <c r="A155" s="30" t="s">
        <v>185</v>
      </c>
      <c r="B155" s="29"/>
      <c r="C155" s="28" t="s">
        <v>47</v>
      </c>
      <c r="D155" s="524">
        <f>SUM(G156:G160)</f>
        <v>0</v>
      </c>
      <c r="E155" s="29"/>
      <c r="F155" s="180"/>
      <c r="G155" s="27" t="s">
        <v>14</v>
      </c>
      <c r="H155" s="26">
        <v>4</v>
      </c>
      <c r="I155" s="31"/>
      <c r="J155" s="385"/>
      <c r="K155" s="533"/>
      <c r="L155" s="533"/>
      <c r="M155" s="533"/>
      <c r="N155" s="533"/>
      <c r="O155" s="533"/>
      <c r="P155" s="533"/>
      <c r="Q155" s="336"/>
      <c r="R155" s="336"/>
    </row>
    <row r="156" spans="1:26" ht="29.25" customHeight="1">
      <c r="A156" s="122" t="s">
        <v>186</v>
      </c>
      <c r="B156" s="123" t="s">
        <v>187</v>
      </c>
      <c r="C156" s="11"/>
      <c r="D156" s="221">
        <v>0</v>
      </c>
      <c r="E156" s="217" t="s">
        <v>188</v>
      </c>
      <c r="F156" s="522">
        <f>J157</f>
        <v>0.75</v>
      </c>
      <c r="G156" s="239" t="str">
        <f>IF(F$156&gt;C$161,H156,"")</f>
        <v/>
      </c>
      <c r="H156" s="222">
        <v>0</v>
      </c>
      <c r="I156" s="31"/>
      <c r="J156" s="385" t="s">
        <v>189</v>
      </c>
      <c r="K156" s="533"/>
      <c r="L156" s="533"/>
      <c r="M156" s="533"/>
      <c r="N156" s="533"/>
      <c r="O156" s="533"/>
      <c r="P156" s="533"/>
      <c r="Q156" s="336"/>
      <c r="R156" s="336"/>
    </row>
    <row r="157" spans="1:26" ht="36.75" customHeight="1">
      <c r="A157" s="122" t="s">
        <v>190</v>
      </c>
      <c r="B157" s="123" t="s">
        <v>191</v>
      </c>
      <c r="C157" s="11"/>
      <c r="D157" s="221">
        <f>F156</f>
        <v>0.75</v>
      </c>
      <c r="E157" s="217" t="s">
        <v>54</v>
      </c>
      <c r="F157" s="522">
        <f>D157+J158</f>
        <v>0.81499999999999995</v>
      </c>
      <c r="G157" s="239" t="str">
        <f>IF(OR(D157=$C$161,AND(D157&lt;$C$161,F157&gt;$C$161)),H157,"")</f>
        <v/>
      </c>
      <c r="H157" s="222">
        <f>J160</f>
        <v>1</v>
      </c>
      <c r="I157" s="31"/>
      <c r="J157" s="397">
        <v>0.75</v>
      </c>
      <c r="K157" s="356" t="s">
        <v>192</v>
      </c>
      <c r="L157" s="533"/>
      <c r="M157" s="533"/>
      <c r="N157" s="533"/>
      <c r="O157" s="533"/>
      <c r="P157" s="533"/>
      <c r="Q157" s="336"/>
      <c r="R157" s="336"/>
    </row>
    <row r="158" spans="1:26" ht="31.5" customHeight="1">
      <c r="A158" s="122" t="s">
        <v>193</v>
      </c>
      <c r="B158" s="123" t="s">
        <v>194</v>
      </c>
      <c r="C158" s="11"/>
      <c r="D158" s="221">
        <f>F157</f>
        <v>0.81499999999999995</v>
      </c>
      <c r="E158" s="217" t="s">
        <v>54</v>
      </c>
      <c r="F158" s="522">
        <f>D158+J158</f>
        <v>0.87999999999999989</v>
      </c>
      <c r="G158" s="239" t="str">
        <f t="shared" ref="G158:G159" si="10">IF(OR(D158=$C$161,AND(D158&lt;$C$161,F158&gt;$C$161)),H158,"")</f>
        <v/>
      </c>
      <c r="H158" s="222">
        <f>H157+J160</f>
        <v>2</v>
      </c>
      <c r="I158" s="31"/>
      <c r="J158" s="398">
        <v>6.5000000000000002E-2</v>
      </c>
      <c r="K158" s="356" t="s">
        <v>195</v>
      </c>
      <c r="L158" s="533"/>
      <c r="M158" s="533"/>
      <c r="N158" s="533"/>
      <c r="O158" s="533"/>
      <c r="P158" s="533"/>
      <c r="Q158" s="336"/>
      <c r="R158" s="336"/>
    </row>
    <row r="159" spans="1:26" ht="19.5" customHeight="1">
      <c r="A159" s="528" t="s">
        <v>196</v>
      </c>
      <c r="B159" s="121" t="s">
        <v>99</v>
      </c>
      <c r="C159" s="109" t="str">
        <f>IF(ISBLANK(C156),"",SUM(C156:C158))</f>
        <v/>
      </c>
      <c r="D159" s="221">
        <f>F158</f>
        <v>0.87999999999999989</v>
      </c>
      <c r="E159" s="217" t="s">
        <v>54</v>
      </c>
      <c r="F159" s="522">
        <f>D159+J158</f>
        <v>0.94499999999999984</v>
      </c>
      <c r="G159" s="239" t="str">
        <f t="shared" si="10"/>
        <v/>
      </c>
      <c r="H159" s="222">
        <f>H158+J160</f>
        <v>3</v>
      </c>
      <c r="I159" s="31"/>
      <c r="J159" s="336">
        <f>H155</f>
        <v>4</v>
      </c>
      <c r="K159" s="533" t="s">
        <v>63</v>
      </c>
      <c r="L159" s="533"/>
      <c r="M159" s="533"/>
      <c r="N159" s="533"/>
      <c r="O159" s="533"/>
      <c r="P159" s="533"/>
      <c r="Q159" s="336"/>
      <c r="R159" s="336"/>
    </row>
    <row r="160" spans="1:26" ht="13.5" customHeight="1">
      <c r="A160" s="527" t="s">
        <v>108</v>
      </c>
      <c r="B160" s="521" t="s">
        <v>197</v>
      </c>
      <c r="C160" s="12" t="str">
        <f>IF(ISBLANK(H5),"",(H5))</f>
        <v/>
      </c>
      <c r="D160" s="221">
        <f>F159</f>
        <v>0.94499999999999984</v>
      </c>
      <c r="E160" s="217" t="s">
        <v>85</v>
      </c>
      <c r="F160" s="465" t="s">
        <v>66</v>
      </c>
      <c r="G160" s="239" t="str">
        <f>IF(C161="","",IF(OR(D160=$C$161,D160&lt;$C$161),H160,""))</f>
        <v/>
      </c>
      <c r="H160" s="222">
        <f>H159+J160</f>
        <v>4</v>
      </c>
      <c r="I160" s="31"/>
      <c r="J160" s="336">
        <f>J159/4</f>
        <v>1</v>
      </c>
      <c r="K160" s="533" t="s">
        <v>67</v>
      </c>
      <c r="L160" s="533"/>
      <c r="M160" s="533"/>
      <c r="N160" s="533"/>
      <c r="O160" s="533"/>
      <c r="P160" s="533"/>
      <c r="Q160" s="336"/>
      <c r="R160" s="336"/>
    </row>
    <row r="161" spans="1:20" ht="26.25" customHeight="1">
      <c r="A161" s="122" t="s">
        <v>198</v>
      </c>
      <c r="B161" s="125" t="s">
        <v>99</v>
      </c>
      <c r="C161" s="233" t="str">
        <f>IF(COUNT(C158)=0,"",C159/C160)</f>
        <v/>
      </c>
      <c r="D161" s="225" t="s">
        <v>36</v>
      </c>
      <c r="E161" s="39" t="s">
        <v>36</v>
      </c>
      <c r="F161" s="38"/>
      <c r="G161" s="226" t="s">
        <v>36</v>
      </c>
      <c r="H161" s="531" t="s">
        <v>36</v>
      </c>
      <c r="I161" s="31"/>
      <c r="J161" s="336"/>
      <c r="K161" s="336"/>
      <c r="L161" s="533"/>
      <c r="M161" s="533"/>
      <c r="N161" s="533"/>
      <c r="O161" s="533"/>
      <c r="P161" s="533"/>
      <c r="Q161" s="336"/>
      <c r="R161" s="336"/>
    </row>
    <row r="162" spans="1:20" ht="13.5" customHeight="1">
      <c r="A162" s="530"/>
      <c r="B162" s="530"/>
      <c r="C162" s="119"/>
      <c r="D162" s="16"/>
      <c r="E162" s="16"/>
      <c r="F162" s="16"/>
      <c r="G162" s="48"/>
      <c r="H162" s="48"/>
      <c r="I162" s="31"/>
      <c r="J162" s="336"/>
      <c r="K162" s="533"/>
      <c r="L162" s="533"/>
      <c r="M162" s="533"/>
      <c r="N162" s="533"/>
      <c r="O162" s="533"/>
      <c r="P162" s="533"/>
      <c r="Q162" s="336"/>
      <c r="R162" s="336"/>
    </row>
    <row r="163" spans="1:20" ht="18" customHeight="1">
      <c r="A163" s="30" t="s">
        <v>199</v>
      </c>
      <c r="B163" s="29"/>
      <c r="C163" s="28" t="s">
        <v>47</v>
      </c>
      <c r="D163" s="524">
        <f>SUM(G164:G170)</f>
        <v>0</v>
      </c>
      <c r="E163" s="29"/>
      <c r="F163" s="180"/>
      <c r="G163" s="27" t="s">
        <v>14</v>
      </c>
      <c r="H163" s="26">
        <v>12</v>
      </c>
      <c r="I163" s="31"/>
      <c r="J163" s="336"/>
      <c r="K163" s="336"/>
      <c r="L163" s="533"/>
      <c r="M163" s="533"/>
      <c r="N163" s="533"/>
      <c r="O163" s="533"/>
      <c r="P163" s="533"/>
      <c r="Q163" s="336"/>
      <c r="R163" s="336"/>
    </row>
    <row r="164" spans="1:20" ht="24" customHeight="1">
      <c r="A164" s="521" t="s">
        <v>200</v>
      </c>
      <c r="B164" s="238" t="s">
        <v>201</v>
      </c>
      <c r="C164" s="13"/>
      <c r="D164" s="221">
        <v>0</v>
      </c>
      <c r="E164" s="217" t="s">
        <v>50</v>
      </c>
      <c r="F164" s="522">
        <f>J165</f>
        <v>2</v>
      </c>
      <c r="G164" s="239" t="str">
        <f>IF(F164&gt;$C$170,H164,"")</f>
        <v/>
      </c>
      <c r="H164" s="222">
        <v>0</v>
      </c>
      <c r="I164" s="31"/>
      <c r="J164" s="385" t="s">
        <v>189</v>
      </c>
      <c r="K164" s="356"/>
      <c r="L164" s="533"/>
      <c r="M164" s="533"/>
      <c r="N164" s="533"/>
      <c r="O164" s="533"/>
      <c r="P164" s="533"/>
      <c r="Q164" s="336"/>
      <c r="R164" s="336"/>
    </row>
    <row r="165" spans="1:20" ht="13.5" customHeight="1">
      <c r="A165" s="122" t="s">
        <v>202</v>
      </c>
      <c r="B165" s="123" t="s">
        <v>203</v>
      </c>
      <c r="C165" s="13"/>
      <c r="D165" s="221">
        <f t="shared" ref="D165:D168" si="11">F164</f>
        <v>2</v>
      </c>
      <c r="E165" s="217" t="s">
        <v>54</v>
      </c>
      <c r="F165" s="522">
        <f>D165+J166</f>
        <v>2.5</v>
      </c>
      <c r="G165" s="239" t="str">
        <f>IF(OR(D165=$C$170,AND(D165&lt;$C$170,F165&gt;$C$170)),H165,"")</f>
        <v/>
      </c>
      <c r="H165" s="222">
        <f>H164+J$168</f>
        <v>3</v>
      </c>
      <c r="I165" s="31"/>
      <c r="J165" s="397">
        <v>2</v>
      </c>
      <c r="K165" s="356" t="s">
        <v>204</v>
      </c>
      <c r="L165" s="533"/>
      <c r="M165" s="533"/>
      <c r="N165" s="533"/>
      <c r="O165" s="533"/>
      <c r="P165" s="533"/>
      <c r="Q165" s="336"/>
      <c r="R165" s="336"/>
    </row>
    <row r="166" spans="1:20" ht="13.5" customHeight="1">
      <c r="A166" s="122" t="s">
        <v>205</v>
      </c>
      <c r="B166" s="123" t="s">
        <v>206</v>
      </c>
      <c r="C166" s="13"/>
      <c r="D166" s="221">
        <f t="shared" si="11"/>
        <v>2.5</v>
      </c>
      <c r="E166" s="217" t="s">
        <v>54</v>
      </c>
      <c r="F166" s="522">
        <f>D166+J166</f>
        <v>3</v>
      </c>
      <c r="G166" s="239" t="str">
        <f>IF(OR(D166=$C$170,AND(D166&lt;$C$170,F166&gt;$C$170)),H166,"")</f>
        <v/>
      </c>
      <c r="H166" s="222">
        <f>H165+J$168</f>
        <v>6</v>
      </c>
      <c r="I166" s="31"/>
      <c r="J166" s="397">
        <v>0.5</v>
      </c>
      <c r="K166" s="356" t="s">
        <v>207</v>
      </c>
      <c r="L166" s="533"/>
      <c r="M166" s="533"/>
      <c r="N166" s="533"/>
      <c r="O166" s="533"/>
      <c r="P166" s="533"/>
      <c r="Q166" s="336"/>
      <c r="R166" s="336"/>
    </row>
    <row r="167" spans="1:20" ht="13.5" customHeight="1">
      <c r="A167" s="238" t="s">
        <v>208</v>
      </c>
      <c r="B167" s="238" t="s">
        <v>209</v>
      </c>
      <c r="C167" s="13"/>
      <c r="D167" s="221">
        <f t="shared" si="11"/>
        <v>3</v>
      </c>
      <c r="E167" s="217"/>
      <c r="F167" s="522">
        <f>D167+J166</f>
        <v>3.5</v>
      </c>
      <c r="G167" s="239" t="str">
        <f>IF(OR(D167=$C$170,AND(D167&lt;$C$170,F167&gt;$C$170)),H167,"")</f>
        <v/>
      </c>
      <c r="H167" s="222">
        <f t="shared" ref="H167:H168" si="12">H166+J$168</f>
        <v>9</v>
      </c>
      <c r="I167" s="31"/>
      <c r="J167" s="336">
        <f>H163</f>
        <v>12</v>
      </c>
      <c r="K167" s="533" t="s">
        <v>63</v>
      </c>
      <c r="L167" s="533"/>
      <c r="M167" s="533"/>
      <c r="N167" s="533"/>
      <c r="O167" s="533"/>
      <c r="P167" s="533"/>
      <c r="Q167" s="336"/>
      <c r="R167" s="336"/>
    </row>
    <row r="168" spans="1:20" ht="13.5" customHeight="1">
      <c r="A168" s="122" t="s">
        <v>210</v>
      </c>
      <c r="B168" s="125" t="s">
        <v>211</v>
      </c>
      <c r="C168" s="120" t="str">
        <f>IF(ISBLANK(C167),"",SUM(C164:C167))</f>
        <v/>
      </c>
      <c r="D168" s="221">
        <f t="shared" si="11"/>
        <v>3.5</v>
      </c>
      <c r="E168" s="217" t="s">
        <v>85</v>
      </c>
      <c r="F168" s="465" t="s">
        <v>66</v>
      </c>
      <c r="G168" s="239" t="str">
        <f>IF(COUNT(C170)=0,"",IF(OR(D168=$C$170,D168&lt;$C$170),H168,""))</f>
        <v/>
      </c>
      <c r="H168" s="222">
        <f t="shared" si="12"/>
        <v>12</v>
      </c>
      <c r="I168" s="31"/>
      <c r="J168" s="386">
        <v>3</v>
      </c>
      <c r="K168" s="356" t="s">
        <v>212</v>
      </c>
      <c r="L168" s="533"/>
      <c r="M168" s="533"/>
      <c r="N168" s="533"/>
      <c r="O168" s="533"/>
      <c r="P168" s="533"/>
      <c r="Q168" s="336"/>
      <c r="R168" s="336"/>
    </row>
    <row r="169" spans="1:20" ht="13.5" customHeight="1">
      <c r="A169" s="122" t="s">
        <v>213</v>
      </c>
      <c r="B169" s="521" t="s">
        <v>197</v>
      </c>
      <c r="C169" s="120" t="str">
        <f>IF(ISBLANK(H5),"",H5)</f>
        <v/>
      </c>
      <c r="D169" s="225"/>
      <c r="E169" s="39"/>
      <c r="F169" s="38"/>
      <c r="G169" s="313"/>
      <c r="H169" s="531"/>
      <c r="I169" s="31"/>
      <c r="J169" s="336"/>
      <c r="K169" s="336"/>
      <c r="L169" s="533"/>
      <c r="M169" s="533"/>
      <c r="N169" s="533"/>
      <c r="O169" s="533"/>
      <c r="P169" s="533"/>
      <c r="Q169" s="336"/>
      <c r="R169" s="336"/>
    </row>
    <row r="170" spans="1:20" ht="13.5" customHeight="1">
      <c r="A170" s="528" t="s">
        <v>182</v>
      </c>
      <c r="B170" s="121" t="s">
        <v>99</v>
      </c>
      <c r="C170" s="181" t="str">
        <f>IF(COUNT(C168)=0,"",C168/C169)</f>
        <v/>
      </c>
      <c r="D170" s="473"/>
      <c r="E170" s="75"/>
      <c r="F170" s="76"/>
      <c r="G170" s="314"/>
      <c r="H170" s="529"/>
      <c r="I170" s="31"/>
      <c r="J170" s="336"/>
      <c r="K170" s="336"/>
      <c r="L170" s="533"/>
      <c r="M170" s="533"/>
      <c r="N170" s="533"/>
      <c r="O170" s="533"/>
      <c r="P170" s="533"/>
      <c r="Q170" s="336"/>
      <c r="R170" s="336"/>
    </row>
    <row r="171" spans="1:20" ht="13.5" customHeight="1">
      <c r="A171" s="321"/>
      <c r="B171" s="321"/>
      <c r="C171" s="321"/>
      <c r="D171" s="321"/>
      <c r="E171" s="321"/>
      <c r="F171" s="321"/>
      <c r="G171" s="321"/>
      <c r="H171" s="321"/>
      <c r="I171" s="31"/>
      <c r="J171" s="336"/>
      <c r="K171" s="533"/>
      <c r="L171" s="533"/>
      <c r="M171" s="533"/>
      <c r="N171" s="533"/>
      <c r="O171" s="533"/>
      <c r="P171" s="533"/>
      <c r="Q171" s="336"/>
      <c r="R171" s="336"/>
    </row>
    <row r="172" spans="1:20" s="7" customFormat="1" ht="18" customHeight="1">
      <c r="A172" s="30" t="s">
        <v>214</v>
      </c>
      <c r="B172" s="29"/>
      <c r="C172" s="28" t="s">
        <v>47</v>
      </c>
      <c r="D172" s="524">
        <f>SUM(G173:G178)</f>
        <v>0</v>
      </c>
      <c r="E172" s="29"/>
      <c r="F172" s="180"/>
      <c r="G172" s="27" t="s">
        <v>14</v>
      </c>
      <c r="H172" s="26">
        <v>5</v>
      </c>
      <c r="I172" s="68"/>
      <c r="J172" s="533"/>
      <c r="K172" s="533"/>
      <c r="L172" s="533"/>
      <c r="M172" s="533"/>
      <c r="N172" s="533"/>
      <c r="O172" s="533"/>
      <c r="P172" s="533"/>
      <c r="Q172" s="533"/>
      <c r="R172" s="336"/>
      <c r="S172" s="339"/>
      <c r="T172" s="339"/>
    </row>
    <row r="173" spans="1:20" ht="12.75" customHeight="1">
      <c r="A173" s="122" t="s">
        <v>215</v>
      </c>
      <c r="B173" s="123" t="s">
        <v>216</v>
      </c>
      <c r="C173" s="13"/>
      <c r="D173" s="221">
        <v>0</v>
      </c>
      <c r="E173" s="217" t="s">
        <v>106</v>
      </c>
      <c r="F173" s="522">
        <f>J174</f>
        <v>0.5</v>
      </c>
      <c r="G173" s="239" t="str">
        <f>IF(F173&gt;$C$177,H173,"")</f>
        <v/>
      </c>
      <c r="H173" s="222">
        <v>0</v>
      </c>
      <c r="I173" s="31"/>
      <c r="J173" s="361">
        <v>1</v>
      </c>
      <c r="K173" s="533" t="s">
        <v>217</v>
      </c>
      <c r="L173" s="68"/>
      <c r="M173" s="68"/>
      <c r="N173" s="533"/>
      <c r="O173" s="533"/>
      <c r="P173" s="533"/>
      <c r="Q173" s="533"/>
      <c r="R173" s="336"/>
    </row>
    <row r="174" spans="1:20" ht="12.75" customHeight="1">
      <c r="A174" s="122" t="s">
        <v>218</v>
      </c>
      <c r="B174" s="123" t="s">
        <v>219</v>
      </c>
      <c r="C174" s="14"/>
      <c r="D174" s="221">
        <f>F173</f>
        <v>0.5</v>
      </c>
      <c r="E174" s="217" t="s">
        <v>54</v>
      </c>
      <c r="F174" s="522">
        <f>D174+$J$175</f>
        <v>0.6</v>
      </c>
      <c r="G174" s="239" t="str">
        <f>IF(OR(D174=$C$177,AND(D174&lt;$C$177, F174&gt;$C$177)),H174,"")</f>
        <v/>
      </c>
      <c r="H174" s="222">
        <f>H173+J$177</f>
        <v>1</v>
      </c>
      <c r="I174" s="31"/>
      <c r="J174" s="372">
        <f>0.5*J173</f>
        <v>0.5</v>
      </c>
      <c r="K174" s="533" t="s">
        <v>83</v>
      </c>
      <c r="L174" s="68"/>
      <c r="M174" s="68"/>
      <c r="N174" s="533"/>
      <c r="O174" s="533"/>
      <c r="P174" s="533"/>
      <c r="Q174" s="533"/>
      <c r="R174" s="336"/>
    </row>
    <row r="175" spans="1:20" ht="12.75" customHeight="1">
      <c r="A175" s="590" t="s">
        <v>220</v>
      </c>
      <c r="B175" s="590"/>
      <c r="C175" s="185" t="str">
        <f>IF(ISBLANK(C173),"",C173-C174)</f>
        <v/>
      </c>
      <c r="D175" s="221">
        <f t="shared" ref="D175:D178" si="13">F174</f>
        <v>0.6</v>
      </c>
      <c r="E175" s="217" t="s">
        <v>54</v>
      </c>
      <c r="F175" s="522">
        <f>D175+$J$175</f>
        <v>0.7</v>
      </c>
      <c r="G175" s="239" t="str">
        <f t="shared" ref="G175:G177" si="14">IF(OR(D175=$C$177,AND(D175&lt;$C$177, F175&gt;$C$177)),H175,"")</f>
        <v/>
      </c>
      <c r="H175" s="222">
        <f>H174+J$177</f>
        <v>2</v>
      </c>
      <c r="I175" s="31"/>
      <c r="J175" s="372">
        <f>(1-J174)/5</f>
        <v>0.1</v>
      </c>
      <c r="K175" s="533" t="s">
        <v>84</v>
      </c>
      <c r="L175" s="68"/>
      <c r="M175" s="68"/>
      <c r="N175" s="533"/>
      <c r="O175" s="533"/>
      <c r="P175" s="533"/>
      <c r="Q175" s="533"/>
      <c r="R175" s="336"/>
    </row>
    <row r="176" spans="1:20" ht="12.75" customHeight="1">
      <c r="A176" s="527" t="s">
        <v>221</v>
      </c>
      <c r="B176" s="137" t="s">
        <v>222</v>
      </c>
      <c r="C176" s="186" t="str">
        <f>IF(ISBLANK(H5),"",H5)</f>
        <v/>
      </c>
      <c r="D176" s="221">
        <f t="shared" si="13"/>
        <v>0.7</v>
      </c>
      <c r="E176" s="217" t="s">
        <v>54</v>
      </c>
      <c r="F176" s="522">
        <f>D176+$J$175</f>
        <v>0.79999999999999993</v>
      </c>
      <c r="G176" s="239" t="str">
        <f t="shared" si="14"/>
        <v/>
      </c>
      <c r="H176" s="222">
        <f>H175+J$177</f>
        <v>3</v>
      </c>
      <c r="I176" s="31"/>
      <c r="J176" s="357">
        <f>H172</f>
        <v>5</v>
      </c>
      <c r="K176" s="533" t="s">
        <v>63</v>
      </c>
      <c r="L176" s="68"/>
      <c r="M176" s="68"/>
      <c r="N176" s="533"/>
      <c r="O176" s="533"/>
      <c r="P176" s="533"/>
      <c r="Q176" s="533"/>
      <c r="R176" s="336"/>
    </row>
    <row r="177" spans="1:20" ht="40.5" customHeight="1">
      <c r="A177" s="122" t="s">
        <v>223</v>
      </c>
      <c r="B177" s="125" t="s">
        <v>222</v>
      </c>
      <c r="C177" s="236" t="str">
        <f>IF(COUNT(C175)=0,"",C175/C176)</f>
        <v/>
      </c>
      <c r="D177" s="221">
        <f t="shared" si="13"/>
        <v>0.79999999999999993</v>
      </c>
      <c r="E177" s="217" t="s">
        <v>54</v>
      </c>
      <c r="F177" s="522">
        <f>D177+$J$175</f>
        <v>0.89999999999999991</v>
      </c>
      <c r="G177" s="239" t="str">
        <f t="shared" si="14"/>
        <v/>
      </c>
      <c r="H177" s="222">
        <f>H176+J$177</f>
        <v>4</v>
      </c>
      <c r="I177" s="31"/>
      <c r="J177" s="357">
        <f>J176/5</f>
        <v>1</v>
      </c>
      <c r="K177" s="533" t="s">
        <v>67</v>
      </c>
      <c r="L177" s="68"/>
      <c r="M177" s="68"/>
      <c r="N177" s="533"/>
      <c r="O177" s="533"/>
      <c r="P177" s="533"/>
      <c r="Q177" s="533"/>
      <c r="R177" s="336"/>
    </row>
    <row r="178" spans="1:20" ht="14.15" customHeight="1">
      <c r="A178" s="591" t="s">
        <v>36</v>
      </c>
      <c r="B178" s="592"/>
      <c r="C178" s="235"/>
      <c r="D178" s="221">
        <f t="shared" si="13"/>
        <v>0.89999999999999991</v>
      </c>
      <c r="E178" s="217" t="s">
        <v>121</v>
      </c>
      <c r="F178" s="522">
        <f>D178+$J$175</f>
        <v>0.99999999999999989</v>
      </c>
      <c r="G178" s="239" t="str">
        <f>IF(C177="","",IF(OR(D178=$C$177,D178&lt;$C$177),H178,""))</f>
        <v/>
      </c>
      <c r="H178" s="222">
        <f>H177+J$177</f>
        <v>5</v>
      </c>
      <c r="I178" s="31"/>
      <c r="J178" s="533"/>
      <c r="K178" s="533"/>
      <c r="L178" s="533"/>
      <c r="M178" s="533"/>
      <c r="N178" s="533"/>
      <c r="O178" s="533"/>
      <c r="P178" s="533"/>
      <c r="Q178" s="533"/>
      <c r="R178" s="336"/>
    </row>
    <row r="179" spans="1:20" ht="14.15" customHeight="1">
      <c r="A179" s="321"/>
      <c r="B179" s="321"/>
      <c r="C179" s="48"/>
      <c r="D179" s="112"/>
      <c r="E179" s="9"/>
      <c r="F179" s="76"/>
      <c r="G179" s="41"/>
      <c r="H179" s="187"/>
      <c r="I179" s="357"/>
      <c r="J179" s="533"/>
      <c r="K179" s="533"/>
      <c r="L179" s="533"/>
      <c r="M179" s="533"/>
      <c r="N179" s="533"/>
      <c r="O179" s="533"/>
      <c r="P179" s="533"/>
      <c r="Q179" s="533"/>
      <c r="R179" s="336"/>
    </row>
    <row r="180" spans="1:20" ht="14.15" customHeight="1" thickBot="1">
      <c r="A180" s="53"/>
      <c r="B180" s="16"/>
      <c r="C180" s="48"/>
      <c r="D180" s="74"/>
      <c r="E180" s="75"/>
      <c r="F180" s="76"/>
      <c r="G180" s="9"/>
      <c r="H180" s="529"/>
      <c r="I180" s="357"/>
      <c r="J180" s="533"/>
      <c r="K180" s="533"/>
      <c r="L180" s="533"/>
      <c r="M180" s="533"/>
      <c r="N180" s="533"/>
      <c r="O180" s="533"/>
      <c r="P180" s="533"/>
      <c r="Q180" s="533"/>
      <c r="R180" s="336"/>
    </row>
    <row r="181" spans="1:20" ht="19.5" customHeight="1" thickTop="1" thickBot="1">
      <c r="A181" s="114" t="s">
        <v>224</v>
      </c>
      <c r="B181" s="61"/>
      <c r="C181" s="60" t="s">
        <v>38</v>
      </c>
      <c r="D181" s="555">
        <f>SUM(D183+D188+D197+D205)</f>
        <v>0</v>
      </c>
      <c r="E181" s="556"/>
      <c r="F181" s="557"/>
      <c r="G181" s="58" t="s">
        <v>14</v>
      </c>
      <c r="H181" s="104">
        <f>SUM(H183,H188,H197,H205)</f>
        <v>22</v>
      </c>
      <c r="I181" s="357"/>
      <c r="J181" s="533"/>
      <c r="K181" s="533"/>
      <c r="L181" s="533"/>
      <c r="M181" s="533"/>
      <c r="N181" s="533"/>
      <c r="O181" s="533"/>
      <c r="P181" s="533"/>
      <c r="Q181" s="533"/>
      <c r="R181" s="336"/>
    </row>
    <row r="182" spans="1:20" ht="46.5" customHeight="1" thickTop="1">
      <c r="A182" s="253" t="s">
        <v>39</v>
      </c>
      <c r="B182" s="253" t="s">
        <v>40</v>
      </c>
      <c r="C182" s="253" t="s">
        <v>41</v>
      </c>
      <c r="D182" s="540" t="s">
        <v>42</v>
      </c>
      <c r="E182" s="540"/>
      <c r="F182" s="540"/>
      <c r="G182" s="253" t="s">
        <v>43</v>
      </c>
      <c r="H182" s="253" t="s">
        <v>44</v>
      </c>
      <c r="I182" s="357"/>
      <c r="J182" s="533"/>
      <c r="K182" s="533"/>
      <c r="L182" s="533"/>
      <c r="M182" s="533"/>
      <c r="N182" s="533"/>
      <c r="O182" s="533"/>
      <c r="P182" s="533"/>
      <c r="Q182" s="533"/>
      <c r="R182" s="336"/>
    </row>
    <row r="183" spans="1:20" s="7" customFormat="1" ht="18" customHeight="1">
      <c r="A183" s="30" t="s">
        <v>225</v>
      </c>
      <c r="B183" s="29"/>
      <c r="C183" s="28" t="s">
        <v>47</v>
      </c>
      <c r="D183" s="280">
        <f>SUM(C186)</f>
        <v>0</v>
      </c>
      <c r="E183" s="29"/>
      <c r="F183" s="180"/>
      <c r="G183" s="27" t="s">
        <v>14</v>
      </c>
      <c r="H183" s="26">
        <v>2</v>
      </c>
      <c r="I183" s="357"/>
      <c r="J183" s="356"/>
      <c r="K183" s="399"/>
      <c r="L183" s="68"/>
      <c r="M183" s="68"/>
      <c r="N183" s="533"/>
      <c r="O183" s="623" t="s">
        <v>36</v>
      </c>
      <c r="P183" s="623"/>
      <c r="Q183" s="533"/>
      <c r="R183" s="336"/>
      <c r="S183" s="339"/>
      <c r="T183" s="339"/>
    </row>
    <row r="184" spans="1:20" s="7" customFormat="1" ht="18" customHeight="1">
      <c r="A184" s="528" t="s">
        <v>226</v>
      </c>
      <c r="B184" s="528" t="s">
        <v>227</v>
      </c>
      <c r="C184" s="189" t="s">
        <v>36</v>
      </c>
      <c r="D184" s="112"/>
      <c r="E184" s="75"/>
      <c r="F184" s="76"/>
      <c r="G184" s="41"/>
      <c r="H184" s="190"/>
      <c r="I184" s="357"/>
      <c r="J184" s="533"/>
      <c r="K184" s="356"/>
      <c r="L184" s="68"/>
      <c r="M184" s="68"/>
      <c r="N184" s="533"/>
      <c r="O184" s="533"/>
      <c r="P184" s="533"/>
      <c r="Q184" s="533"/>
      <c r="R184" s="336"/>
      <c r="S184" s="339"/>
      <c r="T184" s="339"/>
    </row>
    <row r="185" spans="1:20" s="7" customFormat="1" ht="18" customHeight="1">
      <c r="A185" s="528"/>
      <c r="B185" s="528" t="s">
        <v>228</v>
      </c>
      <c r="C185" s="11"/>
      <c r="D185" s="112"/>
      <c r="E185" s="75"/>
      <c r="F185" s="76"/>
      <c r="G185" s="41"/>
      <c r="H185" s="190"/>
      <c r="I185" s="357"/>
      <c r="J185" s="533"/>
      <c r="K185" s="399"/>
      <c r="L185" s="68"/>
      <c r="M185" s="68"/>
      <c r="N185" s="533"/>
      <c r="O185" s="533"/>
      <c r="P185" s="533"/>
      <c r="Q185" s="533"/>
      <c r="R185" s="336"/>
      <c r="S185" s="339"/>
      <c r="T185" s="339"/>
    </row>
    <row r="186" spans="1:20" s="7" customFormat="1" ht="18" customHeight="1">
      <c r="A186" s="182"/>
      <c r="B186" s="191" t="s">
        <v>229</v>
      </c>
      <c r="C186" s="208" t="str">
        <f>IF(AND(ISBLANK(C185)),"",IF(C185&gt;=C184,H183,"0"))</f>
        <v/>
      </c>
      <c r="D186" s="112"/>
      <c r="E186" s="75"/>
      <c r="F186" s="76"/>
      <c r="G186" s="41"/>
      <c r="H186" s="190"/>
      <c r="I186" s="357"/>
      <c r="J186" s="356" t="s">
        <v>230</v>
      </c>
      <c r="K186" s="336"/>
      <c r="L186" s="68"/>
      <c r="M186" s="68"/>
      <c r="N186" s="533"/>
      <c r="O186" s="533"/>
      <c r="P186" s="533"/>
      <c r="Q186" s="533"/>
      <c r="R186" s="336"/>
      <c r="S186" s="339"/>
      <c r="T186" s="339"/>
    </row>
    <row r="187" spans="1:20" s="7" customFormat="1" ht="18" customHeight="1">
      <c r="A187" s="209"/>
      <c r="B187" s="210"/>
      <c r="C187" s="211"/>
      <c r="D187" s="112"/>
      <c r="E187" s="75"/>
      <c r="F187" s="76"/>
      <c r="G187" s="41"/>
      <c r="H187" s="190"/>
      <c r="I187" s="357"/>
      <c r="J187" s="533"/>
      <c r="K187" s="399"/>
      <c r="L187" s="68"/>
      <c r="M187" s="68"/>
      <c r="N187" s="533"/>
      <c r="O187" s="533"/>
      <c r="P187" s="533"/>
      <c r="Q187" s="533"/>
      <c r="R187" s="336"/>
      <c r="S187" s="339"/>
      <c r="T187" s="339"/>
    </row>
    <row r="188" spans="1:20" s="7" customFormat="1" ht="60" customHeight="1">
      <c r="A188" s="523" t="s">
        <v>231</v>
      </c>
      <c r="B188" s="29" t="s">
        <v>232</v>
      </c>
      <c r="C188" s="28" t="s">
        <v>47</v>
      </c>
      <c r="D188" s="524">
        <f>SUM(G189:G194)</f>
        <v>0</v>
      </c>
      <c r="E188" s="29"/>
      <c r="F188" s="180"/>
      <c r="G188" s="27" t="s">
        <v>14</v>
      </c>
      <c r="H188" s="26">
        <v>5</v>
      </c>
      <c r="I188" s="357"/>
      <c r="J188" s="533" t="s">
        <v>233</v>
      </c>
      <c r="K188" s="533"/>
      <c r="L188" s="68"/>
      <c r="M188" s="68"/>
      <c r="N188" s="533"/>
      <c r="O188" s="533"/>
      <c r="P188" s="533"/>
      <c r="Q188" s="533"/>
      <c r="R188" s="336"/>
      <c r="S188" s="339"/>
      <c r="T188" s="339"/>
    </row>
    <row r="189" spans="1:20" s="7" customFormat="1" ht="18" customHeight="1">
      <c r="A189" s="528" t="s">
        <v>234</v>
      </c>
      <c r="B189" s="528" t="s">
        <v>235</v>
      </c>
      <c r="C189" s="129"/>
      <c r="D189" s="221" t="s">
        <v>114</v>
      </c>
      <c r="E189" s="217" t="s">
        <v>121</v>
      </c>
      <c r="F189" s="522">
        <v>0</v>
      </c>
      <c r="G189" s="239" t="str">
        <f>IF(C191=0,H189,"")</f>
        <v/>
      </c>
      <c r="H189" s="222">
        <v>0</v>
      </c>
      <c r="I189" s="357"/>
      <c r="J189" s="400">
        <v>1</v>
      </c>
      <c r="K189" s="356" t="s">
        <v>236</v>
      </c>
      <c r="L189" s="68"/>
      <c r="M189" s="68"/>
      <c r="N189" s="533"/>
      <c r="O189" s="533"/>
      <c r="P189" s="533"/>
      <c r="Q189" s="533"/>
      <c r="R189" s="336"/>
      <c r="S189" s="339"/>
      <c r="T189" s="339"/>
    </row>
    <row r="190" spans="1:20" s="7" customFormat="1" ht="30" customHeight="1">
      <c r="A190" s="527" t="s">
        <v>237</v>
      </c>
      <c r="B190" s="527" t="s">
        <v>238</v>
      </c>
      <c r="C190" s="129"/>
      <c r="D190" s="221">
        <f>F189</f>
        <v>0</v>
      </c>
      <c r="E190" s="217" t="s">
        <v>106</v>
      </c>
      <c r="F190" s="522">
        <f>D190+J190</f>
        <v>0.2</v>
      </c>
      <c r="G190" s="239" t="str">
        <f>IF(AND(F190&gt;$C$191,D190&lt;C191),H190,"")</f>
        <v/>
      </c>
      <c r="H190" s="222">
        <f>H189+$J$192</f>
        <v>1</v>
      </c>
      <c r="I190" s="357"/>
      <c r="J190" s="400">
        <f>J189/5</f>
        <v>0.2</v>
      </c>
      <c r="K190" s="356" t="s">
        <v>239</v>
      </c>
      <c r="L190" s="68"/>
      <c r="M190" s="68"/>
      <c r="N190" s="533"/>
      <c r="O190" s="533"/>
      <c r="P190" s="533"/>
      <c r="Q190" s="533"/>
      <c r="R190" s="336"/>
      <c r="S190" s="339"/>
      <c r="T190" s="339"/>
    </row>
    <row r="191" spans="1:20" s="7" customFormat="1" ht="18" customHeight="1">
      <c r="A191" s="528" t="s">
        <v>240</v>
      </c>
      <c r="B191" s="121" t="s">
        <v>241</v>
      </c>
      <c r="C191" s="247" t="str">
        <f>IF(C190="","",C189/C190)</f>
        <v/>
      </c>
      <c r="D191" s="221">
        <f>F190</f>
        <v>0.2</v>
      </c>
      <c r="E191" s="217" t="s">
        <v>54</v>
      </c>
      <c r="F191" s="522">
        <f>D191+J190</f>
        <v>0.4</v>
      </c>
      <c r="G191" s="239" t="str">
        <f>IF(OR(D191=$C$191,AND(D191&lt;$C$191, F191&gt;$C$191)),H191,"")</f>
        <v/>
      </c>
      <c r="H191" s="222">
        <f>H190+$J$192</f>
        <v>2</v>
      </c>
      <c r="I191" s="357"/>
      <c r="J191" s="401">
        <f>H188</f>
        <v>5</v>
      </c>
      <c r="K191" s="533" t="s">
        <v>63</v>
      </c>
      <c r="L191" s="68"/>
      <c r="M191" s="68"/>
      <c r="N191" s="533"/>
      <c r="O191" s="533"/>
      <c r="P191" s="533"/>
      <c r="Q191" s="533"/>
      <c r="R191" s="336"/>
      <c r="S191" s="339"/>
      <c r="T191" s="339"/>
    </row>
    <row r="192" spans="1:20" s="7" customFormat="1" ht="18" customHeight="1">
      <c r="A192" s="63"/>
      <c r="B192" s="130"/>
      <c r="C192" s="192"/>
      <c r="D192" s="221">
        <f>F191</f>
        <v>0.4</v>
      </c>
      <c r="E192" s="217" t="s">
        <v>54</v>
      </c>
      <c r="F192" s="522">
        <f>D192+J190</f>
        <v>0.60000000000000009</v>
      </c>
      <c r="G192" s="239" t="str">
        <f>IF(OR(D192=$C$191,AND(D192&lt;$C$191, F192&gt;$C$191)),H192,"")</f>
        <v/>
      </c>
      <c r="H192" s="222">
        <f>H191+$J$192</f>
        <v>3</v>
      </c>
      <c r="I192" s="357"/>
      <c r="J192" s="533">
        <f>J191/5</f>
        <v>1</v>
      </c>
      <c r="K192" s="533" t="s">
        <v>67</v>
      </c>
      <c r="L192" s="68"/>
      <c r="M192" s="68"/>
      <c r="N192" s="533"/>
      <c r="O192" s="533"/>
      <c r="P192" s="533"/>
      <c r="Q192" s="533"/>
      <c r="R192" s="336"/>
      <c r="S192" s="339"/>
      <c r="T192" s="339"/>
    </row>
    <row r="193" spans="1:20" s="7" customFormat="1" ht="17.25" customHeight="1">
      <c r="A193" s="63"/>
      <c r="B193" s="130"/>
      <c r="C193" s="525"/>
      <c r="D193" s="221">
        <f t="shared" ref="D193:D194" si="15">F192</f>
        <v>0.60000000000000009</v>
      </c>
      <c r="E193" s="217" t="s">
        <v>54</v>
      </c>
      <c r="F193" s="522">
        <f>D193+J190</f>
        <v>0.8</v>
      </c>
      <c r="G193" s="239" t="str">
        <f>IF(OR(D193=$C$191,AND(D193&lt;$C$191, F193&gt;$C$191)),H193,"")</f>
        <v/>
      </c>
      <c r="H193" s="222">
        <f>H192+$J$192</f>
        <v>4</v>
      </c>
      <c r="I193" s="357"/>
      <c r="J193" s="533"/>
      <c r="K193" s="533"/>
      <c r="L193" s="68"/>
      <c r="M193" s="68"/>
      <c r="N193" s="533"/>
      <c r="O193" s="533"/>
      <c r="P193" s="533"/>
      <c r="Q193" s="533"/>
      <c r="R193" s="336"/>
      <c r="S193" s="339"/>
      <c r="T193" s="339"/>
    </row>
    <row r="194" spans="1:20" s="7" customFormat="1" ht="18" customHeight="1">
      <c r="A194" s="63"/>
      <c r="B194" s="130"/>
      <c r="C194" s="525"/>
      <c r="D194" s="221">
        <f t="shared" si="15"/>
        <v>0.8</v>
      </c>
      <c r="E194" s="217" t="s">
        <v>54</v>
      </c>
      <c r="F194" s="522">
        <f>D194+J190</f>
        <v>1</v>
      </c>
      <c r="G194" s="239" t="str">
        <f>IF(OR(D194=$C$191,AND(D194&lt;$C$191, F194&gt;=$C$191)),H194,"")</f>
        <v/>
      </c>
      <c r="H194" s="222">
        <f>H193+$J$192</f>
        <v>5</v>
      </c>
      <c r="I194" s="357"/>
      <c r="J194" s="533"/>
      <c r="K194" s="533"/>
      <c r="L194" s="68"/>
      <c r="M194" s="68"/>
      <c r="N194" s="533"/>
      <c r="O194" s="533"/>
      <c r="P194" s="533"/>
      <c r="Q194" s="533"/>
      <c r="R194" s="336"/>
      <c r="S194" s="339"/>
      <c r="T194" s="339"/>
    </row>
    <row r="195" spans="1:20" s="7" customFormat="1" ht="18" customHeight="1">
      <c r="A195" s="63"/>
      <c r="B195" s="130"/>
      <c r="C195" s="525"/>
      <c r="D195" s="41"/>
      <c r="E195" s="41"/>
      <c r="F195" s="41"/>
      <c r="G195" s="41"/>
      <c r="H195" s="190"/>
      <c r="I195" s="357"/>
      <c r="J195" s="533"/>
      <c r="K195" s="533"/>
      <c r="L195" s="68"/>
      <c r="M195" s="68"/>
      <c r="N195" s="533"/>
      <c r="O195" s="533"/>
      <c r="P195" s="533"/>
      <c r="Q195" s="533"/>
      <c r="R195" s="336"/>
      <c r="S195" s="339"/>
      <c r="T195" s="339"/>
    </row>
    <row r="196" spans="1:20" s="7" customFormat="1" ht="18" customHeight="1">
      <c r="A196" s="212"/>
      <c r="B196" s="213"/>
      <c r="C196" s="193"/>
      <c r="D196" s="41"/>
      <c r="E196" s="41"/>
      <c r="F196" s="41"/>
      <c r="G196" s="131"/>
      <c r="H196" s="529"/>
      <c r="I196" s="402"/>
      <c r="J196" s="382"/>
      <c r="K196" s="533"/>
      <c r="L196" s="68"/>
      <c r="M196" s="68"/>
      <c r="N196" s="533"/>
      <c r="O196" s="533"/>
      <c r="P196" s="533"/>
      <c r="Q196" s="533"/>
      <c r="R196" s="336"/>
      <c r="S196" s="339"/>
      <c r="T196" s="339"/>
    </row>
    <row r="197" spans="1:20" s="7" customFormat="1" ht="18" customHeight="1">
      <c r="A197" s="523" t="s">
        <v>242</v>
      </c>
      <c r="B197" s="29"/>
      <c r="C197" s="28" t="s">
        <v>47</v>
      </c>
      <c r="D197" s="524">
        <f>SUM(G199:G203)</f>
        <v>0</v>
      </c>
      <c r="E197" s="29"/>
      <c r="F197" s="180"/>
      <c r="G197" s="27" t="s">
        <v>14</v>
      </c>
      <c r="H197" s="26">
        <v>5</v>
      </c>
      <c r="I197" s="357"/>
      <c r="J197" s="382"/>
      <c r="K197" s="533"/>
      <c r="L197" s="68"/>
      <c r="M197" s="68"/>
      <c r="N197" s="533"/>
      <c r="O197" s="533"/>
      <c r="P197" s="533"/>
      <c r="Q197" s="533"/>
      <c r="R197" s="336"/>
      <c r="S197" s="339"/>
      <c r="T197" s="339"/>
    </row>
    <row r="198" spans="1:20" s="7" customFormat="1" ht="25.5" customHeight="1">
      <c r="A198" s="527" t="s">
        <v>243</v>
      </c>
      <c r="B198" s="527" t="s">
        <v>244</v>
      </c>
      <c r="C198" s="147"/>
      <c r="D198" s="221">
        <v>0</v>
      </c>
      <c r="E198" s="217"/>
      <c r="F198" s="522"/>
      <c r="G198" s="214" t="str">
        <f>IF(C200=0,"0","")</f>
        <v/>
      </c>
      <c r="H198" s="222">
        <v>0</v>
      </c>
      <c r="I198" s="357"/>
      <c r="J198" s="361">
        <v>1</v>
      </c>
      <c r="K198" s="356" t="s">
        <v>245</v>
      </c>
      <c r="L198" s="68"/>
      <c r="M198" s="68"/>
      <c r="N198" s="533"/>
      <c r="O198" s="533"/>
      <c r="P198" s="533"/>
      <c r="Q198" s="533"/>
      <c r="R198" s="336"/>
      <c r="S198" s="339"/>
      <c r="T198" s="339"/>
    </row>
    <row r="199" spans="1:20" s="7" customFormat="1" ht="27" customHeight="1">
      <c r="A199" s="527" t="s">
        <v>246</v>
      </c>
      <c r="B199" s="528" t="s">
        <v>247</v>
      </c>
      <c r="C199" s="147"/>
      <c r="D199" s="221">
        <v>0</v>
      </c>
      <c r="E199" s="217" t="s">
        <v>36</v>
      </c>
      <c r="F199" s="522">
        <f>D199+J199</f>
        <v>0.2</v>
      </c>
      <c r="G199" s="214" t="str">
        <f>IF(AND(F199&gt;$C$200,D199&lt;C200),H199,"")</f>
        <v/>
      </c>
      <c r="H199" s="222">
        <f>H198+$J$201</f>
        <v>1</v>
      </c>
      <c r="I199" s="357"/>
      <c r="J199" s="361">
        <f>J198/5</f>
        <v>0.2</v>
      </c>
      <c r="K199" s="356" t="s">
        <v>248</v>
      </c>
      <c r="L199" s="68"/>
      <c r="M199" s="68"/>
      <c r="N199" s="533"/>
      <c r="O199" s="533"/>
      <c r="P199" s="533"/>
      <c r="Q199" s="533"/>
      <c r="R199" s="336"/>
      <c r="S199" s="339"/>
      <c r="T199" s="368"/>
    </row>
    <row r="200" spans="1:20" s="7" customFormat="1" ht="18" customHeight="1">
      <c r="A200" s="527" t="s">
        <v>249</v>
      </c>
      <c r="B200" s="121" t="s">
        <v>99</v>
      </c>
      <c r="C200" s="183" t="str">
        <f>IF(ISBLANK(C199),"",C198/C199)</f>
        <v/>
      </c>
      <c r="D200" s="221">
        <f>F199</f>
        <v>0.2</v>
      </c>
      <c r="E200" s="217" t="s">
        <v>54</v>
      </c>
      <c r="F200" s="522">
        <f>D200+J199</f>
        <v>0.4</v>
      </c>
      <c r="G200" s="214" t="str">
        <f>IF(OR(D200=$C$200,AND(D200&lt;$C$200, F200&gt;$C$200)),H200,"")</f>
        <v/>
      </c>
      <c r="H200" s="222">
        <f t="shared" ref="H200:H203" si="16">H199+$J$201</f>
        <v>2</v>
      </c>
      <c r="I200" s="357"/>
      <c r="J200" s="357">
        <f>H197</f>
        <v>5</v>
      </c>
      <c r="K200" s="533" t="s">
        <v>63</v>
      </c>
      <c r="L200" s="68"/>
      <c r="M200" s="68"/>
      <c r="N200" s="533"/>
      <c r="O200" s="533"/>
      <c r="P200" s="533"/>
      <c r="Q200" s="533"/>
      <c r="R200" s="336"/>
      <c r="S200" s="339"/>
      <c r="T200" s="339"/>
    </row>
    <row r="201" spans="1:20" s="7" customFormat="1" ht="18" customHeight="1">
      <c r="A201" s="43"/>
      <c r="B201" s="511" t="s">
        <v>250</v>
      </c>
      <c r="C201" s="525"/>
      <c r="D201" s="221">
        <f t="shared" ref="D201:D203" si="17">F200</f>
        <v>0.4</v>
      </c>
      <c r="E201" s="217" t="s">
        <v>54</v>
      </c>
      <c r="F201" s="522">
        <f>D201+J199</f>
        <v>0.60000000000000009</v>
      </c>
      <c r="G201" s="214" t="str">
        <f>IF(OR(D201=$C$200,AND(D201&lt;$C$200, F201&gt;$C$200)),H201,"")</f>
        <v/>
      </c>
      <c r="H201" s="222">
        <f t="shared" si="16"/>
        <v>3</v>
      </c>
      <c r="I201" s="357"/>
      <c r="J201" s="357">
        <f>J200/5</f>
        <v>1</v>
      </c>
      <c r="K201" s="533" t="s">
        <v>67</v>
      </c>
      <c r="L201" s="68"/>
      <c r="M201" s="68"/>
      <c r="N201" s="533"/>
      <c r="O201" s="533"/>
      <c r="P201" s="533"/>
      <c r="Q201" s="533"/>
      <c r="R201" s="336"/>
      <c r="S201" s="339"/>
      <c r="T201" s="339"/>
    </row>
    <row r="202" spans="1:20" s="7" customFormat="1" ht="18" customHeight="1">
      <c r="A202" s="43"/>
      <c r="B202" s="130"/>
      <c r="C202" s="525"/>
      <c r="D202" s="221">
        <f t="shared" si="17"/>
        <v>0.60000000000000009</v>
      </c>
      <c r="E202" s="217" t="s">
        <v>54</v>
      </c>
      <c r="F202" s="522">
        <f>D202+J199</f>
        <v>0.8</v>
      </c>
      <c r="G202" s="214" t="str">
        <f>IF(OR(D202=$C$200,AND(D202&lt;$C$200, F202&gt;$C$200)),H202,"")</f>
        <v/>
      </c>
      <c r="H202" s="222">
        <f t="shared" si="16"/>
        <v>4</v>
      </c>
      <c r="I202" s="357"/>
      <c r="J202" s="336"/>
      <c r="K202" s="336"/>
      <c r="L202" s="68"/>
      <c r="M202" s="68"/>
      <c r="N202" s="533"/>
      <c r="O202" s="533"/>
      <c r="P202" s="533"/>
      <c r="Q202" s="533"/>
      <c r="R202" s="336"/>
      <c r="S202" s="339"/>
      <c r="T202" s="339"/>
    </row>
    <row r="203" spans="1:20" s="7" customFormat="1" ht="18" customHeight="1">
      <c r="A203" s="43"/>
      <c r="B203" s="130"/>
      <c r="C203" s="525"/>
      <c r="D203" s="221">
        <f t="shared" si="17"/>
        <v>0.8</v>
      </c>
      <c r="E203" s="217" t="s">
        <v>54</v>
      </c>
      <c r="F203" s="522">
        <f>D203+J199</f>
        <v>1</v>
      </c>
      <c r="G203" s="214" t="str">
        <f>IF(OR(D203=$C$200,AND(D203&lt;$C$200, F203&gt;=$C$200)),H203,"")</f>
        <v/>
      </c>
      <c r="H203" s="222">
        <f t="shared" si="16"/>
        <v>5</v>
      </c>
      <c r="I203" s="357"/>
      <c r="J203" s="336"/>
      <c r="K203" s="336"/>
      <c r="L203" s="68"/>
      <c r="M203" s="68"/>
      <c r="N203" s="533"/>
      <c r="O203" s="533"/>
      <c r="P203" s="533"/>
      <c r="Q203" s="533"/>
      <c r="R203" s="336"/>
      <c r="S203" s="339"/>
      <c r="T203" s="339"/>
    </row>
    <row r="204" spans="1:20" s="7" customFormat="1" ht="18" customHeight="1">
      <c r="A204" s="257"/>
      <c r="B204" s="213"/>
      <c r="C204" s="193"/>
      <c r="D204" s="470"/>
      <c r="E204" s="471"/>
      <c r="F204" s="472"/>
      <c r="G204" s="131"/>
      <c r="H204" s="532"/>
      <c r="I204" s="402"/>
      <c r="J204" s="382"/>
      <c r="K204" s="533"/>
      <c r="L204" s="68"/>
      <c r="M204" s="68"/>
      <c r="N204" s="533"/>
      <c r="O204" s="533"/>
      <c r="P204" s="533"/>
      <c r="Q204" s="533"/>
      <c r="R204" s="336"/>
      <c r="S204" s="339"/>
      <c r="T204" s="339"/>
    </row>
    <row r="205" spans="1:20" s="7" customFormat="1" ht="18" customHeight="1">
      <c r="A205" s="30" t="s">
        <v>251</v>
      </c>
      <c r="B205" s="29"/>
      <c r="C205" s="28" t="s">
        <v>47</v>
      </c>
      <c r="D205" s="524">
        <f>SUM(G206:G211)</f>
        <v>0</v>
      </c>
      <c r="E205" s="29"/>
      <c r="F205" s="180"/>
      <c r="G205" s="27" t="s">
        <v>14</v>
      </c>
      <c r="H205" s="26">
        <v>10</v>
      </c>
      <c r="I205" s="357"/>
      <c r="J205" s="382"/>
      <c r="K205" s="533"/>
      <c r="L205" s="68"/>
      <c r="M205" s="68"/>
      <c r="N205" s="533"/>
      <c r="O205" s="533"/>
      <c r="P205" s="533"/>
      <c r="Q205" s="533"/>
      <c r="R205" s="336"/>
      <c r="S205" s="339"/>
      <c r="T205" s="339"/>
    </row>
    <row r="206" spans="1:20" s="7" customFormat="1" ht="18" customHeight="1">
      <c r="A206" s="527" t="s">
        <v>252</v>
      </c>
      <c r="B206" s="520" t="s">
        <v>253</v>
      </c>
      <c r="C206" s="495">
        <f>H7</f>
        <v>0</v>
      </c>
      <c r="D206" s="221">
        <v>0</v>
      </c>
      <c r="E206" s="217" t="s">
        <v>89</v>
      </c>
      <c r="F206" s="522">
        <f>J207</f>
        <v>0.2</v>
      </c>
      <c r="G206" s="214" t="str">
        <f>IF(F206&gt;$C$208,H206,"")</f>
        <v/>
      </c>
      <c r="H206" s="222">
        <v>0</v>
      </c>
      <c r="I206" s="357"/>
      <c r="J206" s="361">
        <v>1</v>
      </c>
      <c r="K206" s="356" t="s">
        <v>254</v>
      </c>
      <c r="L206" s="68"/>
      <c r="M206" s="68"/>
      <c r="N206" s="533"/>
      <c r="O206" s="533"/>
      <c r="P206" s="533"/>
      <c r="Q206" s="533"/>
      <c r="R206" s="336"/>
      <c r="S206" s="339"/>
      <c r="T206" s="339"/>
    </row>
    <row r="207" spans="1:20" s="7" customFormat="1" ht="18" customHeight="1">
      <c r="A207" s="527" t="s">
        <v>255</v>
      </c>
      <c r="B207" s="520" t="s">
        <v>256</v>
      </c>
      <c r="C207" s="489"/>
      <c r="D207" s="221">
        <f>F206</f>
        <v>0.2</v>
      </c>
      <c r="E207" s="217" t="s">
        <v>54</v>
      </c>
      <c r="F207" s="522">
        <f>D207+$J$207</f>
        <v>0.4</v>
      </c>
      <c r="G207" s="214" t="str">
        <f>IF(OR(D207=$C$208,AND(D207&lt;$C$208, F207&gt;$C$208)),H207,"")</f>
        <v/>
      </c>
      <c r="H207" s="222">
        <f>H206+J$209</f>
        <v>2</v>
      </c>
      <c r="I207" s="357"/>
      <c r="J207" s="372">
        <f>J206/5</f>
        <v>0.2</v>
      </c>
      <c r="K207" s="533" t="s">
        <v>84</v>
      </c>
      <c r="L207" s="68"/>
      <c r="M207" s="68"/>
      <c r="N207" s="533"/>
      <c r="O207" s="533"/>
      <c r="P207" s="533"/>
      <c r="Q207" s="533"/>
      <c r="R207" s="336"/>
      <c r="S207" s="339"/>
      <c r="T207" s="339"/>
    </row>
    <row r="208" spans="1:20" s="7" customFormat="1" ht="32.25" customHeight="1">
      <c r="A208" s="527" t="s">
        <v>257</v>
      </c>
      <c r="B208" s="121" t="s">
        <v>99</v>
      </c>
      <c r="C208" s="194" t="str">
        <f>IF(ISBLANK(C207),"",C207/C206)</f>
        <v/>
      </c>
      <c r="D208" s="221">
        <f t="shared" ref="D208:D211" si="18">F207</f>
        <v>0.4</v>
      </c>
      <c r="E208" s="217" t="s">
        <v>54</v>
      </c>
      <c r="F208" s="522">
        <f>D208+$J$207</f>
        <v>0.60000000000000009</v>
      </c>
      <c r="G208" s="214" t="str">
        <f>IF(OR(D208=$C$208,AND(D208&lt;$C$208, F208&gt;$C$208)),H208,"")</f>
        <v/>
      </c>
      <c r="H208" s="222">
        <f>H207+J$209</f>
        <v>4</v>
      </c>
      <c r="I208" s="357"/>
      <c r="J208" s="357">
        <f>H205</f>
        <v>10</v>
      </c>
      <c r="K208" s="533" t="s">
        <v>63</v>
      </c>
      <c r="L208" s="68"/>
      <c r="M208" s="68"/>
      <c r="N208" s="533"/>
      <c r="O208" s="533"/>
      <c r="P208" s="533"/>
      <c r="Q208" s="533"/>
      <c r="R208" s="336"/>
      <c r="S208" s="339"/>
      <c r="T208" s="339"/>
    </row>
    <row r="209" spans="1:22" s="7" customFormat="1" ht="36" customHeight="1">
      <c r="A209" s="621" t="s">
        <v>258</v>
      </c>
      <c r="B209" s="621"/>
      <c r="C209" s="622"/>
      <c r="D209" s="221">
        <f t="shared" si="18"/>
        <v>0.60000000000000009</v>
      </c>
      <c r="E209" s="217" t="s">
        <v>54</v>
      </c>
      <c r="F209" s="522">
        <f>D209+$J$207</f>
        <v>0.8</v>
      </c>
      <c r="G209" s="214" t="str">
        <f>IF(OR(D209=$C$208,AND(D209&lt;$C$208, F209&gt;$C$208)),H209,"")</f>
        <v/>
      </c>
      <c r="H209" s="222">
        <f>H208+J$209</f>
        <v>6</v>
      </c>
      <c r="I209" s="357"/>
      <c r="J209" s="357">
        <f>J208/5</f>
        <v>2</v>
      </c>
      <c r="K209" s="533" t="s">
        <v>67</v>
      </c>
      <c r="L209" s="68"/>
      <c r="M209" s="68"/>
      <c r="N209" s="533"/>
      <c r="O209" s="533"/>
      <c r="P209" s="533"/>
      <c r="Q209" s="533"/>
      <c r="R209" s="336"/>
      <c r="S209" s="339"/>
      <c r="T209" s="339"/>
    </row>
    <row r="210" spans="1:22" s="7" customFormat="1" ht="18" customHeight="1">
      <c r="A210" s="43"/>
      <c r="B210" s="130"/>
      <c r="C210" s="525"/>
      <c r="D210" s="221">
        <f t="shared" si="18"/>
        <v>0.8</v>
      </c>
      <c r="E210" s="217" t="s">
        <v>54</v>
      </c>
      <c r="F210" s="522">
        <f>D210+$J$207</f>
        <v>1</v>
      </c>
      <c r="G210" s="214" t="str">
        <f>IF(OR(D210=$C$208,AND(D210&lt;$C$208, F210&gt;$C$208)),H210,"")</f>
        <v/>
      </c>
      <c r="H210" s="222">
        <f>H209+J$209</f>
        <v>8</v>
      </c>
      <c r="I210" s="357"/>
      <c r="J210" s="336"/>
      <c r="K210" s="336"/>
      <c r="L210" s="68"/>
      <c r="M210" s="68"/>
      <c r="N210" s="533"/>
      <c r="O210" s="533"/>
      <c r="P210" s="533"/>
      <c r="Q210" s="533"/>
      <c r="R210" s="336"/>
      <c r="S210" s="339"/>
      <c r="T210" s="339"/>
    </row>
    <row r="211" spans="1:22" s="7" customFormat="1" ht="18" customHeight="1">
      <c r="A211" s="43"/>
      <c r="B211" s="130"/>
      <c r="C211" s="525"/>
      <c r="D211" s="221">
        <f t="shared" si="18"/>
        <v>1</v>
      </c>
      <c r="E211" s="217" t="s">
        <v>85</v>
      </c>
      <c r="F211" s="465" t="s">
        <v>66</v>
      </c>
      <c r="G211" s="214" t="str">
        <f>IF(C208="","",IF(OR(D211=$C$208,D211&lt;$C$208),H211,""))</f>
        <v/>
      </c>
      <c r="H211" s="222">
        <f>H210+J$209</f>
        <v>10</v>
      </c>
      <c r="I211" s="357"/>
      <c r="J211" s="382"/>
      <c r="K211" s="533"/>
      <c r="L211" s="68"/>
      <c r="M211" s="68"/>
      <c r="N211" s="533"/>
      <c r="O211" s="533"/>
      <c r="P211" s="533"/>
      <c r="Q211" s="533"/>
      <c r="R211" s="336"/>
      <c r="S211" s="339"/>
      <c r="T211" s="339"/>
    </row>
    <row r="212" spans="1:22" ht="14.15" customHeight="1">
      <c r="A212" s="53"/>
      <c r="B212" s="16"/>
      <c r="C212" s="48"/>
      <c r="D212" s="74"/>
      <c r="E212" s="75"/>
      <c r="F212" s="76"/>
      <c r="G212" s="41"/>
      <c r="H212" s="529"/>
      <c r="I212" s="357"/>
      <c r="J212" s="533"/>
      <c r="K212" s="533"/>
      <c r="L212" s="533"/>
      <c r="M212" s="533"/>
      <c r="N212" s="533"/>
      <c r="O212" s="533"/>
      <c r="P212" s="533"/>
      <c r="Q212" s="533"/>
      <c r="R212" s="336"/>
    </row>
    <row r="213" spans="1:22" s="51" customFormat="1" ht="17.25" customHeight="1" thickBot="1">
      <c r="A213" s="514"/>
      <c r="B213" s="514"/>
      <c r="C213" s="514"/>
      <c r="D213" s="115"/>
      <c r="E213" s="115"/>
      <c r="F213" s="115"/>
      <c r="G213" s="514"/>
      <c r="H213" s="514"/>
      <c r="I213" s="352"/>
      <c r="J213" s="353"/>
      <c r="K213" s="354"/>
      <c r="L213" s="354"/>
      <c r="M213" s="354"/>
      <c r="N213" s="354"/>
      <c r="O213" s="354"/>
      <c r="P213" s="354"/>
      <c r="Q213" s="354"/>
      <c r="R213" s="354"/>
      <c r="S213" s="359"/>
      <c r="T213" s="359"/>
    </row>
    <row r="214" spans="1:22" ht="46.5" customHeight="1" thickTop="1" thickBot="1">
      <c r="A214" s="114" t="s">
        <v>259</v>
      </c>
      <c r="B214" s="61"/>
      <c r="C214" s="60" t="s">
        <v>137</v>
      </c>
      <c r="D214" s="555">
        <f>SUM(D216,D248,D257,D262)</f>
        <v>0</v>
      </c>
      <c r="E214" s="556"/>
      <c r="F214" s="557"/>
      <c r="G214" s="58" t="s">
        <v>14</v>
      </c>
      <c r="H214" s="104">
        <f>H216+H248+H257+H262</f>
        <v>25</v>
      </c>
      <c r="I214" s="403"/>
      <c r="J214" s="381"/>
      <c r="K214" s="336"/>
      <c r="L214" s="336"/>
      <c r="M214" s="336"/>
      <c r="N214" s="336"/>
      <c r="O214" s="336"/>
      <c r="P214" s="336"/>
      <c r="Q214" s="336"/>
      <c r="R214" s="336"/>
      <c r="S214" s="339"/>
      <c r="T214" s="339"/>
      <c r="U214" s="7"/>
      <c r="V214" s="7"/>
    </row>
    <row r="215" spans="1:22" ht="9" customHeight="1" thickTop="1">
      <c r="A215" s="57"/>
      <c r="B215" s="632"/>
      <c r="C215" s="632"/>
      <c r="D215" s="632"/>
      <c r="E215" s="534"/>
      <c r="F215" s="534"/>
      <c r="G215" s="83"/>
      <c r="H215" s="45"/>
      <c r="I215" s="404"/>
      <c r="J215" s="336"/>
      <c r="K215" s="336"/>
      <c r="L215" s="336"/>
      <c r="M215" s="336"/>
      <c r="N215" s="336"/>
      <c r="O215" s="336"/>
      <c r="P215" s="336"/>
      <c r="Q215" s="336"/>
      <c r="R215" s="336"/>
    </row>
    <row r="216" spans="1:22" s="7" customFormat="1" ht="18" customHeight="1">
      <c r="A216" s="30" t="s">
        <v>260</v>
      </c>
      <c r="B216" s="29"/>
      <c r="C216" s="28" t="s">
        <v>47</v>
      </c>
      <c r="D216" s="524">
        <f>SUM(G244:G246)</f>
        <v>0</v>
      </c>
      <c r="E216" s="29"/>
      <c r="F216" s="180"/>
      <c r="G216" s="27" t="s">
        <v>14</v>
      </c>
      <c r="H216" s="26">
        <v>5</v>
      </c>
      <c r="I216" s="68"/>
      <c r="J216" s="356"/>
      <c r="K216" s="533"/>
      <c r="L216" s="533"/>
      <c r="M216" s="533"/>
      <c r="N216" s="533"/>
      <c r="O216" s="533"/>
      <c r="P216" s="533"/>
      <c r="Q216" s="533"/>
      <c r="R216" s="336"/>
      <c r="S216" s="339"/>
      <c r="T216" s="339"/>
    </row>
    <row r="217" spans="1:22" ht="25.5" customHeight="1">
      <c r="A217" s="101"/>
      <c r="B217" s="92" t="s">
        <v>261</v>
      </c>
      <c r="C217" s="102" t="s">
        <v>262</v>
      </c>
      <c r="D217" s="629" t="s">
        <v>263</v>
      </c>
      <c r="E217" s="630"/>
      <c r="F217" s="631"/>
      <c r="G217" s="46"/>
      <c r="H217" s="195"/>
      <c r="I217" s="405"/>
      <c r="K217" s="539"/>
      <c r="L217" s="539"/>
      <c r="M217" s="539"/>
      <c r="N217" s="539"/>
      <c r="O217" s="539"/>
      <c r="P217" s="406"/>
      <c r="Q217" s="533"/>
      <c r="R217" s="533"/>
      <c r="S217" s="399"/>
      <c r="T217" s="399"/>
      <c r="U217" s="6"/>
      <c r="V217" s="6"/>
    </row>
    <row r="218" spans="1:22" s="7" customFormat="1" ht="12" customHeight="1">
      <c r="A218" s="93"/>
      <c r="B218" s="97" t="s">
        <v>264</v>
      </c>
      <c r="C218" s="88"/>
      <c r="D218" s="541"/>
      <c r="E218" s="542"/>
      <c r="F218" s="543"/>
      <c r="G218" s="47"/>
      <c r="H218" s="196"/>
      <c r="I218" s="407"/>
      <c r="J218" s="408" t="s">
        <v>265</v>
      </c>
      <c r="K218" s="409"/>
      <c r="L218" s="409"/>
      <c r="M218" s="409"/>
      <c r="N218" s="409"/>
      <c r="O218" s="409"/>
      <c r="P218" s="369"/>
      <c r="Q218" s="533"/>
      <c r="R218" s="533"/>
      <c r="S218" s="399"/>
      <c r="T218" s="399"/>
      <c r="U218" s="6"/>
      <c r="V218" s="6"/>
    </row>
    <row r="219" spans="1:22" s="7" customFormat="1" ht="12" customHeight="1">
      <c r="A219" s="94"/>
      <c r="B219" s="97" t="s">
        <v>266</v>
      </c>
      <c r="C219" s="89"/>
      <c r="D219" s="541"/>
      <c r="E219" s="542"/>
      <c r="F219" s="543"/>
      <c r="G219" s="78"/>
      <c r="H219" s="196"/>
      <c r="I219" s="407"/>
      <c r="J219" s="410" t="s">
        <v>267</v>
      </c>
      <c r="K219" s="409"/>
      <c r="L219" s="409"/>
      <c r="M219" s="409"/>
      <c r="N219" s="409"/>
      <c r="O219" s="409"/>
      <c r="P219" s="369"/>
      <c r="Q219" s="533"/>
      <c r="R219" s="533"/>
      <c r="S219" s="399"/>
      <c r="T219" s="399"/>
      <c r="U219" s="6"/>
      <c r="V219" s="6"/>
    </row>
    <row r="220" spans="1:22" s="7" customFormat="1" ht="12" customHeight="1">
      <c r="A220" s="94"/>
      <c r="B220" s="97" t="s">
        <v>268</v>
      </c>
      <c r="C220" s="89"/>
      <c r="D220" s="541"/>
      <c r="E220" s="542"/>
      <c r="F220" s="543"/>
      <c r="G220" s="151"/>
      <c r="H220" s="197"/>
      <c r="I220" s="411"/>
      <c r="J220" s="412" t="s">
        <v>269</v>
      </c>
      <c r="K220" s="533"/>
      <c r="L220" s="533"/>
      <c r="M220" s="533"/>
      <c r="N220" s="533"/>
      <c r="O220" s="533"/>
      <c r="P220" s="336"/>
      <c r="Q220" s="533"/>
      <c r="R220" s="533"/>
      <c r="S220" s="399"/>
      <c r="T220" s="399"/>
      <c r="U220" s="6"/>
      <c r="V220" s="6"/>
    </row>
    <row r="221" spans="1:22" s="7" customFormat="1" ht="12" customHeight="1">
      <c r="A221" s="94"/>
      <c r="B221" s="97" t="s">
        <v>270</v>
      </c>
      <c r="C221" s="515"/>
      <c r="D221" s="541"/>
      <c r="E221" s="542"/>
      <c r="F221" s="543"/>
      <c r="G221" s="151"/>
      <c r="H221" s="197"/>
      <c r="I221" s="533"/>
      <c r="J221" s="533"/>
      <c r="K221" s="533"/>
      <c r="L221" s="533"/>
      <c r="M221" s="533"/>
      <c r="N221" s="533"/>
      <c r="O221" s="533"/>
      <c r="P221" s="336"/>
      <c r="Q221" s="533"/>
      <c r="R221" s="533"/>
      <c r="S221" s="399"/>
      <c r="T221" s="399"/>
      <c r="U221" s="6"/>
      <c r="V221" s="6"/>
    </row>
    <row r="222" spans="1:22" s="7" customFormat="1" ht="12" customHeight="1">
      <c r="A222" s="94"/>
      <c r="B222" s="97" t="s">
        <v>271</v>
      </c>
      <c r="C222" s="515"/>
      <c r="D222" s="541"/>
      <c r="E222" s="542"/>
      <c r="F222" s="543"/>
      <c r="G222" s="633"/>
      <c r="H222" s="634"/>
      <c r="I222" s="533"/>
      <c r="J222" s="533" t="s">
        <v>272</v>
      </c>
      <c r="K222" s="533"/>
      <c r="L222" s="533"/>
      <c r="M222" s="533"/>
      <c r="N222" s="533"/>
      <c r="O222" s="533"/>
      <c r="P222" s="336"/>
      <c r="Q222" s="533"/>
      <c r="R222" s="533"/>
      <c r="S222" s="399"/>
      <c r="T222" s="399"/>
      <c r="U222" s="6"/>
      <c r="V222" s="6"/>
    </row>
    <row r="223" spans="1:22" s="7" customFormat="1" ht="12" customHeight="1">
      <c r="A223" s="90"/>
      <c r="B223" s="97" t="s">
        <v>273</v>
      </c>
      <c r="C223" s="515"/>
      <c r="D223" s="541"/>
      <c r="E223" s="542"/>
      <c r="F223" s="543"/>
      <c r="G223" s="633"/>
      <c r="H223" s="634"/>
      <c r="I223" s="533"/>
      <c r="J223" s="533" t="s">
        <v>274</v>
      </c>
      <c r="K223" s="533"/>
      <c r="L223" s="533"/>
      <c r="M223" s="533"/>
      <c r="N223" s="533"/>
      <c r="O223" s="533"/>
      <c r="P223" s="336"/>
      <c r="Q223" s="533"/>
      <c r="R223" s="533"/>
      <c r="S223" s="399"/>
      <c r="T223" s="399"/>
      <c r="U223" s="6"/>
      <c r="V223" s="6"/>
    </row>
    <row r="224" spans="1:22" s="7" customFormat="1" ht="12" customHeight="1">
      <c r="A224" s="90"/>
      <c r="B224" s="97" t="s">
        <v>275</v>
      </c>
      <c r="C224" s="515"/>
      <c r="D224" s="541"/>
      <c r="E224" s="542"/>
      <c r="F224" s="543"/>
      <c r="G224" s="151"/>
      <c r="H224" s="197"/>
      <c r="I224" s="533"/>
      <c r="J224" s="533"/>
      <c r="K224" s="533"/>
      <c r="L224" s="533"/>
      <c r="M224" s="533"/>
      <c r="N224" s="533"/>
      <c r="O224" s="533"/>
      <c r="P224" s="336"/>
      <c r="Q224" s="533"/>
      <c r="R224" s="533"/>
      <c r="S224" s="399"/>
      <c r="T224" s="399"/>
      <c r="U224" s="6"/>
      <c r="V224" s="6"/>
    </row>
    <row r="225" spans="1:22" s="7" customFormat="1" ht="12" customHeight="1">
      <c r="A225" s="94"/>
      <c r="B225" s="97" t="s">
        <v>276</v>
      </c>
      <c r="C225" s="515"/>
      <c r="D225" s="541"/>
      <c r="E225" s="542"/>
      <c r="F225" s="543"/>
      <c r="G225" s="86"/>
      <c r="H225" s="198"/>
      <c r="I225" s="413"/>
      <c r="J225" s="533"/>
      <c r="K225" s="533"/>
      <c r="L225" s="533"/>
      <c r="M225" s="533"/>
      <c r="N225" s="533"/>
      <c r="O225" s="533"/>
      <c r="P225" s="533"/>
      <c r="Q225" s="533"/>
      <c r="R225" s="533"/>
      <c r="S225" s="399"/>
      <c r="T225" s="399"/>
      <c r="U225" s="6"/>
      <c r="V225" s="6"/>
    </row>
    <row r="226" spans="1:22" s="7" customFormat="1" ht="12" customHeight="1">
      <c r="A226" s="94"/>
      <c r="B226" s="97" t="s">
        <v>277</v>
      </c>
      <c r="C226" s="515"/>
      <c r="D226" s="541"/>
      <c r="E226" s="542"/>
      <c r="F226" s="543"/>
      <c r="G226" s="86"/>
      <c r="H226" s="198"/>
      <c r="I226" s="413"/>
      <c r="J226" s="533"/>
      <c r="K226" s="533"/>
      <c r="L226" s="533"/>
      <c r="M226" s="533"/>
      <c r="N226" s="533"/>
      <c r="O226" s="533"/>
      <c r="P226" s="533"/>
      <c r="Q226" s="533"/>
      <c r="R226" s="533"/>
      <c r="S226" s="399"/>
      <c r="T226" s="399"/>
      <c r="U226" s="6"/>
      <c r="V226" s="6"/>
    </row>
    <row r="227" spans="1:22" s="7" customFormat="1" ht="12" customHeight="1">
      <c r="A227" s="94"/>
      <c r="B227" s="97" t="s">
        <v>278</v>
      </c>
      <c r="C227" s="515"/>
      <c r="D227" s="541"/>
      <c r="E227" s="542"/>
      <c r="F227" s="543"/>
      <c r="G227" s="86"/>
      <c r="H227" s="198"/>
      <c r="I227" s="413"/>
      <c r="J227" s="533"/>
      <c r="K227" s="533"/>
      <c r="L227" s="533"/>
      <c r="M227" s="533"/>
      <c r="N227" s="533"/>
      <c r="O227" s="533"/>
      <c r="P227" s="336"/>
      <c r="Q227" s="336"/>
      <c r="R227" s="336"/>
      <c r="S227" s="339"/>
      <c r="T227" s="339"/>
    </row>
    <row r="228" spans="1:22" s="7" customFormat="1" ht="12" customHeight="1">
      <c r="A228" s="94"/>
      <c r="B228" s="97" t="s">
        <v>279</v>
      </c>
      <c r="C228" s="515"/>
      <c r="D228" s="541"/>
      <c r="E228" s="542"/>
      <c r="F228" s="543"/>
      <c r="G228" s="86"/>
      <c r="H228" s="198"/>
      <c r="I228" s="413"/>
      <c r="J228" s="533"/>
      <c r="K228" s="533"/>
      <c r="L228" s="533"/>
      <c r="M228" s="533"/>
      <c r="N228" s="533"/>
      <c r="O228" s="533"/>
      <c r="P228" s="336"/>
      <c r="Q228" s="336"/>
      <c r="R228" s="336"/>
      <c r="S228" s="339"/>
      <c r="T228" s="339"/>
    </row>
    <row r="229" spans="1:22" s="7" customFormat="1" ht="12" customHeight="1">
      <c r="A229" s="94"/>
      <c r="B229" s="97" t="s">
        <v>280</v>
      </c>
      <c r="C229" s="515"/>
      <c r="D229" s="541"/>
      <c r="E229" s="542"/>
      <c r="F229" s="543"/>
      <c r="G229" s="86"/>
      <c r="H229" s="198"/>
      <c r="I229" s="413"/>
      <c r="J229" s="533"/>
      <c r="K229" s="533"/>
      <c r="L229" s="533"/>
      <c r="M229" s="533"/>
      <c r="N229" s="533"/>
      <c r="O229" s="533"/>
      <c r="P229" s="336"/>
      <c r="Q229" s="336"/>
      <c r="R229" s="336"/>
      <c r="S229" s="339"/>
      <c r="T229" s="339"/>
    </row>
    <row r="230" spans="1:22" s="7" customFormat="1" ht="12" customHeight="1">
      <c r="A230" s="94"/>
      <c r="B230" s="98" t="s">
        <v>281</v>
      </c>
      <c r="C230" s="515"/>
      <c r="D230" s="541"/>
      <c r="E230" s="542"/>
      <c r="F230" s="543"/>
      <c r="G230" s="86"/>
      <c r="H230" s="198"/>
      <c r="I230" s="413"/>
      <c r="J230" s="533"/>
      <c r="K230" s="533"/>
      <c r="L230" s="533"/>
      <c r="M230" s="533"/>
      <c r="N230" s="533"/>
      <c r="O230" s="533"/>
      <c r="P230" s="336"/>
      <c r="Q230" s="336"/>
      <c r="R230" s="336"/>
      <c r="S230" s="339"/>
      <c r="T230" s="339"/>
    </row>
    <row r="231" spans="1:22" s="7" customFormat="1" ht="12" customHeight="1">
      <c r="A231" s="94"/>
      <c r="B231" s="98" t="s">
        <v>282</v>
      </c>
      <c r="C231" s="515"/>
      <c r="D231" s="541"/>
      <c r="E231" s="542"/>
      <c r="F231" s="543"/>
      <c r="G231" s="86"/>
      <c r="H231" s="198"/>
      <c r="I231" s="413"/>
      <c r="J231" s="533"/>
      <c r="K231" s="533"/>
      <c r="L231" s="533"/>
      <c r="M231" s="533"/>
      <c r="N231" s="533"/>
      <c r="O231" s="533"/>
      <c r="P231" s="336"/>
      <c r="Q231" s="336"/>
      <c r="R231" s="336"/>
      <c r="S231" s="339"/>
      <c r="T231" s="339"/>
    </row>
    <row r="232" spans="1:22" s="7" customFormat="1" ht="12" customHeight="1">
      <c r="A232" s="94"/>
      <c r="B232" s="98" t="s">
        <v>283</v>
      </c>
      <c r="C232" s="515"/>
      <c r="D232" s="541"/>
      <c r="E232" s="542"/>
      <c r="F232" s="543"/>
      <c r="G232" s="86"/>
      <c r="H232" s="198"/>
      <c r="I232" s="413"/>
      <c r="J232" s="533"/>
      <c r="K232" s="533"/>
      <c r="L232" s="533"/>
      <c r="M232" s="533"/>
      <c r="N232" s="533"/>
      <c r="O232" s="533"/>
      <c r="P232" s="336"/>
      <c r="Q232" s="336"/>
      <c r="R232" s="336"/>
      <c r="S232" s="339"/>
      <c r="T232" s="339"/>
    </row>
    <row r="233" spans="1:22" s="7" customFormat="1" ht="12" customHeight="1">
      <c r="A233" s="94"/>
      <c r="B233" s="98" t="s">
        <v>284</v>
      </c>
      <c r="C233" s="515"/>
      <c r="D233" s="541"/>
      <c r="E233" s="542"/>
      <c r="F233" s="543"/>
      <c r="G233" s="86"/>
      <c r="H233" s="198"/>
      <c r="I233" s="413"/>
      <c r="J233" s="533"/>
      <c r="K233" s="533"/>
      <c r="L233" s="533"/>
      <c r="M233" s="533"/>
      <c r="N233" s="533"/>
      <c r="O233" s="533"/>
      <c r="P233" s="336"/>
      <c r="Q233" s="336"/>
      <c r="R233" s="336"/>
      <c r="S233" s="339"/>
      <c r="T233" s="339"/>
    </row>
    <row r="234" spans="1:22" s="7" customFormat="1" ht="12" customHeight="1">
      <c r="A234" s="94"/>
      <c r="B234" s="98" t="s">
        <v>285</v>
      </c>
      <c r="C234" s="515"/>
      <c r="D234" s="541"/>
      <c r="E234" s="542"/>
      <c r="F234" s="543"/>
      <c r="G234" s="86"/>
      <c r="H234" s="198"/>
      <c r="I234" s="413"/>
      <c r="J234" s="533"/>
      <c r="K234" s="533"/>
      <c r="L234" s="533"/>
      <c r="M234" s="533"/>
      <c r="N234" s="533"/>
      <c r="O234" s="533"/>
      <c r="P234" s="336"/>
      <c r="Q234" s="336"/>
      <c r="R234" s="336"/>
      <c r="S234" s="339"/>
      <c r="T234" s="339"/>
    </row>
    <row r="235" spans="1:22" s="7" customFormat="1" ht="12" customHeight="1">
      <c r="A235" s="94"/>
      <c r="B235" s="98" t="s">
        <v>286</v>
      </c>
      <c r="C235" s="515"/>
      <c r="D235" s="541"/>
      <c r="E235" s="542"/>
      <c r="F235" s="543"/>
      <c r="G235" s="86"/>
      <c r="H235" s="198"/>
      <c r="I235" s="413"/>
      <c r="J235" s="533"/>
      <c r="K235" s="533"/>
      <c r="L235" s="533"/>
      <c r="M235" s="533"/>
      <c r="N235" s="533"/>
      <c r="O235" s="533"/>
      <c r="P235" s="336"/>
      <c r="Q235" s="336"/>
      <c r="R235" s="336"/>
      <c r="S235" s="339"/>
      <c r="T235" s="339"/>
    </row>
    <row r="236" spans="1:22" s="7" customFormat="1" ht="12" customHeight="1">
      <c r="A236" s="94"/>
      <c r="B236" s="98" t="s">
        <v>287</v>
      </c>
      <c r="C236" s="515"/>
      <c r="D236" s="541"/>
      <c r="E236" s="542"/>
      <c r="F236" s="543"/>
      <c r="G236" s="86"/>
      <c r="H236" s="198"/>
      <c r="I236" s="413"/>
      <c r="J236" s="533"/>
      <c r="K236" s="533"/>
      <c r="L236" s="533"/>
      <c r="M236" s="533"/>
      <c r="N236" s="533"/>
      <c r="O236" s="533"/>
      <c r="P236" s="336"/>
      <c r="Q236" s="336"/>
      <c r="R236" s="336"/>
      <c r="S236" s="339"/>
      <c r="T236" s="339"/>
    </row>
    <row r="237" spans="1:22" s="7" customFormat="1" ht="12" customHeight="1">
      <c r="A237" s="94"/>
      <c r="B237" s="98" t="s">
        <v>288</v>
      </c>
      <c r="C237" s="515"/>
      <c r="D237" s="541"/>
      <c r="E237" s="542"/>
      <c r="F237" s="543"/>
      <c r="G237" s="86"/>
      <c r="H237" s="198"/>
      <c r="I237" s="413"/>
      <c r="J237" s="533"/>
      <c r="K237" s="533"/>
      <c r="L237" s="533"/>
      <c r="M237" s="533"/>
      <c r="N237" s="533"/>
      <c r="O237" s="533"/>
      <c r="P237" s="336"/>
      <c r="Q237" s="336"/>
      <c r="R237" s="336"/>
      <c r="S237" s="339"/>
      <c r="T237" s="339"/>
    </row>
    <row r="238" spans="1:22" s="7" customFormat="1" ht="12" customHeight="1">
      <c r="A238" s="94"/>
      <c r="B238" s="98" t="s">
        <v>289</v>
      </c>
      <c r="C238" s="515"/>
      <c r="D238" s="541"/>
      <c r="E238" s="542"/>
      <c r="F238" s="543"/>
      <c r="G238" s="86"/>
      <c r="H238" s="198"/>
      <c r="I238" s="413"/>
      <c r="J238" s="533"/>
      <c r="K238" s="533"/>
      <c r="L238" s="533"/>
      <c r="M238" s="533"/>
      <c r="N238" s="533"/>
      <c r="O238" s="533"/>
      <c r="P238" s="336"/>
      <c r="Q238" s="336"/>
      <c r="R238" s="336"/>
      <c r="S238" s="339"/>
      <c r="T238" s="339"/>
    </row>
    <row r="239" spans="1:22" s="7" customFormat="1" ht="12" customHeight="1">
      <c r="A239" s="94"/>
      <c r="B239" s="98" t="s">
        <v>290</v>
      </c>
      <c r="C239" s="515"/>
      <c r="D239" s="541"/>
      <c r="E239" s="542"/>
      <c r="F239" s="543"/>
      <c r="G239" s="86"/>
      <c r="H239" s="198"/>
      <c r="I239" s="413"/>
      <c r="J239" s="533"/>
      <c r="K239" s="533"/>
      <c r="L239" s="533"/>
      <c r="M239" s="533"/>
      <c r="N239" s="533"/>
      <c r="O239" s="533"/>
      <c r="P239" s="336"/>
      <c r="Q239" s="336"/>
      <c r="R239" s="336"/>
      <c r="S239" s="339"/>
      <c r="T239" s="339"/>
    </row>
    <row r="240" spans="1:22" s="6" customFormat="1" ht="12" customHeight="1">
      <c r="A240" s="95"/>
      <c r="B240" s="99" t="s">
        <v>291</v>
      </c>
      <c r="C240" s="516" t="str">
        <f>IF(COUNT(C218:C239)=0,"",SUM(C218:C239))</f>
        <v/>
      </c>
      <c r="D240" s="544" t="str">
        <f>IF(COUNT(D218:F239)=0,"",SUM(D218:F239))</f>
        <v/>
      </c>
      <c r="E240" s="545"/>
      <c r="F240" s="546"/>
      <c r="G240" s="87" t="s">
        <v>36</v>
      </c>
      <c r="H240" s="198"/>
      <c r="I240" s="413"/>
      <c r="J240" s="533"/>
      <c r="K240" s="533"/>
      <c r="L240" s="533"/>
      <c r="M240" s="533"/>
      <c r="N240" s="533"/>
      <c r="O240" s="533"/>
      <c r="P240" s="336"/>
      <c r="Q240" s="336"/>
      <c r="R240" s="336"/>
      <c r="S240" s="339"/>
      <c r="T240" s="339"/>
      <c r="U240" s="7"/>
      <c r="V240" s="7"/>
    </row>
    <row r="241" spans="1:22" s="6" customFormat="1" ht="12" customHeight="1">
      <c r="A241" s="95"/>
      <c r="B241" s="99" t="s">
        <v>292</v>
      </c>
      <c r="C241" s="544" t="str">
        <f>IF(ISBLANK(H5),"",H5)</f>
        <v/>
      </c>
      <c r="D241" s="545"/>
      <c r="E241" s="545"/>
      <c r="F241" s="546"/>
      <c r="G241" s="85" t="s">
        <v>36</v>
      </c>
      <c r="H241" s="198"/>
      <c r="I241" s="413"/>
      <c r="J241" s="533"/>
      <c r="K241" s="533"/>
      <c r="L241" s="533"/>
      <c r="M241" s="533"/>
      <c r="N241" s="533"/>
      <c r="O241" s="533"/>
      <c r="P241" s="336"/>
      <c r="Q241" s="533"/>
      <c r="R241" s="533"/>
      <c r="S241" s="399"/>
      <c r="T241" s="399"/>
    </row>
    <row r="242" spans="1:22" s="7" customFormat="1" ht="12" customHeight="1">
      <c r="A242" s="96"/>
      <c r="B242" s="100" t="s">
        <v>293</v>
      </c>
      <c r="C242" s="547" t="str">
        <f>IF(OR(COUNT(C218:F239)=0,C241=0,D240="",C240=""),"",(C241*COUNTA(B218:B239)-C240-D240)/(C241*COUNTA(B218:B239)))</f>
        <v/>
      </c>
      <c r="D242" s="548"/>
      <c r="E242" s="548"/>
      <c r="F242" s="549"/>
      <c r="G242" s="17"/>
      <c r="H242" s="199"/>
      <c r="I242" s="414"/>
      <c r="J242" s="533"/>
      <c r="K242" s="533"/>
      <c r="L242" s="533"/>
      <c r="M242" s="533"/>
      <c r="N242" s="533"/>
      <c r="O242" s="533"/>
      <c r="P242" s="336"/>
      <c r="Q242" s="533"/>
      <c r="R242" s="533"/>
      <c r="S242" s="399"/>
      <c r="T242" s="399"/>
      <c r="U242" s="6"/>
      <c r="V242" s="6"/>
    </row>
    <row r="243" spans="1:22" s="7" customFormat="1" ht="11.25" customHeight="1">
      <c r="A243" s="96"/>
      <c r="B243" s="32"/>
      <c r="C243" s="110"/>
      <c r="D243" s="110"/>
      <c r="E243" s="110"/>
      <c r="F243" s="110"/>
      <c r="G243" s="17"/>
      <c r="H243" s="199"/>
      <c r="I243" s="414"/>
      <c r="J243" s="533"/>
      <c r="K243" s="533"/>
      <c r="L243" s="533"/>
      <c r="M243" s="533"/>
      <c r="N243" s="533"/>
      <c r="O243" s="533"/>
      <c r="P243" s="336"/>
      <c r="Q243" s="533"/>
      <c r="R243" s="533"/>
      <c r="S243" s="399"/>
      <c r="T243" s="399"/>
      <c r="U243" s="6"/>
      <c r="V243" s="6"/>
    </row>
    <row r="244" spans="1:22" s="7" customFormat="1" ht="12" customHeight="1">
      <c r="A244" s="96"/>
      <c r="B244" s="32"/>
      <c r="C244" s="110"/>
      <c r="D244" s="221">
        <v>0</v>
      </c>
      <c r="E244" s="217" t="s">
        <v>89</v>
      </c>
      <c r="F244" s="522">
        <v>0.8</v>
      </c>
      <c r="G244" s="239" t="str">
        <f>IF(F244&gt;$C$242,H244,"")</f>
        <v/>
      </c>
      <c r="H244" s="222">
        <v>0</v>
      </c>
      <c r="I244" s="414"/>
      <c r="J244" s="533"/>
      <c r="K244" s="533"/>
      <c r="L244" s="533"/>
      <c r="M244" s="533"/>
      <c r="N244" s="533"/>
      <c r="O244" s="533"/>
      <c r="P244" s="336"/>
      <c r="Q244" s="533"/>
      <c r="R244" s="533"/>
      <c r="S244" s="399"/>
      <c r="T244" s="399"/>
      <c r="U244" s="6"/>
      <c r="V244" s="6"/>
    </row>
    <row r="245" spans="1:22" s="7" customFormat="1" ht="12" customHeight="1">
      <c r="A245" s="96"/>
      <c r="B245" s="32"/>
      <c r="C245" s="110"/>
      <c r="D245" s="221">
        <f>F244</f>
        <v>0.8</v>
      </c>
      <c r="E245" s="217" t="s">
        <v>54</v>
      </c>
      <c r="F245" s="522">
        <v>0.9</v>
      </c>
      <c r="G245" s="239" t="str">
        <f t="shared" ref="G245" si="19">IF(OR(D245=$C$242,AND(D245&lt;$C$242, F245&gt;$C$242)),H245,"")</f>
        <v/>
      </c>
      <c r="H245" s="222">
        <v>3</v>
      </c>
      <c r="I245" s="414"/>
      <c r="J245" s="533"/>
      <c r="K245" s="533"/>
      <c r="L245" s="533"/>
      <c r="M245" s="533"/>
      <c r="N245" s="533"/>
      <c r="O245" s="533"/>
      <c r="P245" s="336"/>
      <c r="Q245" s="533"/>
      <c r="R245" s="533"/>
      <c r="S245" s="399"/>
      <c r="T245" s="399"/>
      <c r="U245" s="6"/>
      <c r="V245" s="6"/>
    </row>
    <row r="246" spans="1:22" s="7" customFormat="1" ht="12" customHeight="1">
      <c r="A246" s="96"/>
      <c r="B246" s="32"/>
      <c r="C246" s="110"/>
      <c r="D246" s="221">
        <f>F245</f>
        <v>0.9</v>
      </c>
      <c r="E246" s="217" t="s">
        <v>85</v>
      </c>
      <c r="F246" s="465" t="s">
        <v>66</v>
      </c>
      <c r="G246" s="239" t="str">
        <f>IF(C242="","",IF(OR(D246=$C$242,D246&lt;$C$242),H246,""))</f>
        <v/>
      </c>
      <c r="H246" s="222">
        <v>5</v>
      </c>
      <c r="I246" s="414"/>
      <c r="J246" s="533"/>
      <c r="K246" s="533"/>
      <c r="L246" s="533"/>
      <c r="M246" s="533"/>
      <c r="N246" s="533"/>
      <c r="O246" s="533"/>
      <c r="P246" s="336"/>
      <c r="Q246" s="533"/>
      <c r="R246" s="533"/>
      <c r="S246" s="399"/>
      <c r="T246" s="399"/>
      <c r="U246" s="6"/>
      <c r="V246" s="6"/>
    </row>
    <row r="247" spans="1:22" s="7" customFormat="1" ht="11.25" customHeight="1">
      <c r="A247" s="96"/>
      <c r="B247" s="50"/>
      <c r="C247" s="16"/>
      <c r="D247" s="474"/>
      <c r="E247" s="474"/>
      <c r="F247" s="474"/>
      <c r="G247" s="17"/>
      <c r="H247" s="199"/>
      <c r="I247" s="414"/>
      <c r="J247" s="533"/>
      <c r="K247" s="533"/>
      <c r="L247" s="533"/>
      <c r="M247" s="533"/>
      <c r="N247" s="533"/>
      <c r="O247" s="533"/>
      <c r="P247" s="533"/>
      <c r="Q247" s="533"/>
      <c r="R247" s="533"/>
      <c r="S247" s="399"/>
      <c r="T247" s="399"/>
      <c r="U247" s="6"/>
      <c r="V247" s="6"/>
    </row>
    <row r="248" spans="1:22" s="7" customFormat="1" ht="18" customHeight="1">
      <c r="A248" s="30" t="s">
        <v>294</v>
      </c>
      <c r="B248" s="29"/>
      <c r="C248" s="28" t="s">
        <v>47</v>
      </c>
      <c r="D248" s="524">
        <f>SUM(G250:G255)</f>
        <v>0</v>
      </c>
      <c r="E248" s="29"/>
      <c r="F248" s="180"/>
      <c r="G248" s="27" t="s">
        <v>14</v>
      </c>
      <c r="H248" s="26">
        <v>5</v>
      </c>
      <c r="I248" s="68"/>
      <c r="J248" s="356"/>
      <c r="K248" s="533"/>
      <c r="L248" s="533"/>
      <c r="M248" s="533"/>
      <c r="N248" s="533"/>
      <c r="O248" s="533"/>
      <c r="P248" s="533"/>
      <c r="Q248" s="533"/>
      <c r="R248" s="336"/>
      <c r="S248" s="339"/>
      <c r="T248" s="339"/>
    </row>
    <row r="249" spans="1:22" s="51" customFormat="1" ht="43.5" customHeight="1">
      <c r="A249" s="258" t="s">
        <v>39</v>
      </c>
      <c r="B249" s="514" t="s">
        <v>40</v>
      </c>
      <c r="C249" s="514" t="s">
        <v>41</v>
      </c>
      <c r="D249" s="540" t="s">
        <v>42</v>
      </c>
      <c r="E249" s="540"/>
      <c r="F249" s="540"/>
      <c r="G249" s="514" t="s">
        <v>43</v>
      </c>
      <c r="H249" s="200" t="s">
        <v>44</v>
      </c>
      <c r="I249" s="352"/>
      <c r="J249" s="353" t="s">
        <v>45</v>
      </c>
      <c r="K249" s="354"/>
      <c r="L249" s="354"/>
      <c r="M249" s="354"/>
      <c r="N249" s="354"/>
      <c r="O249" s="354"/>
      <c r="P249" s="354"/>
      <c r="Q249" s="354"/>
      <c r="R249" s="354"/>
      <c r="S249" s="359"/>
      <c r="T249" s="359"/>
    </row>
    <row r="250" spans="1:22" s="7" customFormat="1" ht="25">
      <c r="A250" s="494" t="s">
        <v>295</v>
      </c>
      <c r="B250" s="123" t="s">
        <v>296</v>
      </c>
      <c r="C250" s="15"/>
      <c r="D250" s="221">
        <v>0</v>
      </c>
      <c r="E250" s="217" t="s">
        <v>188</v>
      </c>
      <c r="F250" s="522">
        <v>0.45</v>
      </c>
      <c r="G250" s="239" t="str">
        <f>IF(F250&gt;$C$252,H250,"")</f>
        <v/>
      </c>
      <c r="H250" s="222">
        <v>0</v>
      </c>
      <c r="I250" s="357"/>
      <c r="J250" s="361">
        <v>0.9</v>
      </c>
      <c r="K250" s="533" t="s">
        <v>297</v>
      </c>
      <c r="L250" s="68"/>
      <c r="M250" s="68"/>
      <c r="N250" s="533"/>
      <c r="O250" s="533"/>
      <c r="P250" s="533"/>
      <c r="Q250" s="533"/>
      <c r="R250" s="336"/>
      <c r="S250" s="339"/>
      <c r="T250" s="339"/>
    </row>
    <row r="251" spans="1:22" s="7" customFormat="1" ht="25">
      <c r="A251" s="124" t="s">
        <v>298</v>
      </c>
      <c r="B251" s="123" t="s">
        <v>299</v>
      </c>
      <c r="C251" s="15"/>
      <c r="D251" s="221">
        <f>F250</f>
        <v>0.45</v>
      </c>
      <c r="E251" s="217" t="s">
        <v>54</v>
      </c>
      <c r="F251" s="522">
        <f>D251+$J$252</f>
        <v>0.56000000000000005</v>
      </c>
      <c r="G251" s="239" t="str">
        <f>IF(OR(D251=$C$252,AND(D251&lt;$C$252, F251&gt;$C$252)),H251,"")</f>
        <v/>
      </c>
      <c r="H251" s="222">
        <f>H250+J$254</f>
        <v>1</v>
      </c>
      <c r="I251" s="357"/>
      <c r="J251" s="372">
        <f>0.5*J250</f>
        <v>0.45</v>
      </c>
      <c r="K251" s="533" t="s">
        <v>83</v>
      </c>
      <c r="L251" s="68"/>
      <c r="M251" s="68"/>
      <c r="N251" s="533"/>
      <c r="O251" s="533"/>
      <c r="P251" s="533"/>
      <c r="Q251" s="533"/>
      <c r="R251" s="336"/>
      <c r="S251" s="339"/>
      <c r="T251" s="339"/>
    </row>
    <row r="252" spans="1:22" s="7" customFormat="1" ht="12.5">
      <c r="A252" s="527" t="s">
        <v>300</v>
      </c>
      <c r="B252" s="125" t="s">
        <v>99</v>
      </c>
      <c r="C252" s="281" t="str">
        <f>IF(C251=0,"",C250/C251)</f>
        <v/>
      </c>
      <c r="D252" s="221">
        <f t="shared" ref="D252:D255" si="20">F251</f>
        <v>0.56000000000000005</v>
      </c>
      <c r="E252" s="217" t="s">
        <v>54</v>
      </c>
      <c r="F252" s="522">
        <f>D252+$J$252</f>
        <v>0.67</v>
      </c>
      <c r="G252" s="239" t="str">
        <f>IF(OR(D252=$C$252,AND(D252&lt;$C$252, F252&gt;$C$252)),H252,"")</f>
        <v/>
      </c>
      <c r="H252" s="222">
        <f>H251+J$254</f>
        <v>2</v>
      </c>
      <c r="I252" s="357"/>
      <c r="J252" s="372">
        <f>(1-J251)/5</f>
        <v>0.11000000000000001</v>
      </c>
      <c r="K252" s="533" t="s">
        <v>84</v>
      </c>
      <c r="L252" s="68"/>
      <c r="M252" s="68"/>
      <c r="N252" s="533"/>
      <c r="O252" s="533"/>
      <c r="P252" s="533"/>
      <c r="Q252" s="533"/>
      <c r="R252" s="336"/>
      <c r="S252" s="339"/>
      <c r="T252" s="339"/>
    </row>
    <row r="253" spans="1:22" s="7" customFormat="1" ht="39">
      <c r="A253" s="16"/>
      <c r="B253" s="512" t="s">
        <v>301</v>
      </c>
      <c r="C253" s="16"/>
      <c r="D253" s="221">
        <f t="shared" si="20"/>
        <v>0.67</v>
      </c>
      <c r="E253" s="217" t="s">
        <v>54</v>
      </c>
      <c r="F253" s="522">
        <f>D253+$J$252</f>
        <v>0.78</v>
      </c>
      <c r="G253" s="239" t="str">
        <f>IF(OR(D253=$C$252,AND(D253&lt;$C$252, F253&gt;$C$252)),H253,"")</f>
        <v/>
      </c>
      <c r="H253" s="222">
        <f>H252+J$254</f>
        <v>3</v>
      </c>
      <c r="I253" s="357"/>
      <c r="J253" s="357">
        <f>H248</f>
        <v>5</v>
      </c>
      <c r="K253" s="533" t="s">
        <v>63</v>
      </c>
      <c r="L253" s="68"/>
      <c r="M253" s="68"/>
      <c r="N253" s="533"/>
      <c r="O253" s="533"/>
      <c r="P253" s="533"/>
      <c r="Q253" s="533"/>
      <c r="R253" s="336"/>
      <c r="S253" s="339"/>
      <c r="T253" s="339"/>
    </row>
    <row r="254" spans="1:22" s="7" customFormat="1">
      <c r="A254" s="94"/>
      <c r="B254" s="16"/>
      <c r="C254" s="16"/>
      <c r="D254" s="221">
        <f t="shared" si="20"/>
        <v>0.78</v>
      </c>
      <c r="E254" s="217" t="s">
        <v>54</v>
      </c>
      <c r="F254" s="522">
        <f>D254+$J$252</f>
        <v>0.89</v>
      </c>
      <c r="G254" s="239" t="str">
        <f>IF(OR(D254=$C$252,AND(D254&lt;$C$252, F254&gt;$C$252)),H254,"")</f>
        <v/>
      </c>
      <c r="H254" s="222">
        <f>H253+J$254</f>
        <v>4</v>
      </c>
      <c r="I254" s="357"/>
      <c r="J254" s="357">
        <f>J253/5</f>
        <v>1</v>
      </c>
      <c r="K254" s="533" t="s">
        <v>67</v>
      </c>
      <c r="L254" s="68"/>
      <c r="M254" s="68"/>
      <c r="N254" s="533"/>
      <c r="O254" s="533"/>
      <c r="P254" s="533"/>
      <c r="Q254" s="533"/>
      <c r="R254" s="336"/>
      <c r="S254" s="339"/>
      <c r="T254" s="339"/>
    </row>
    <row r="255" spans="1:22">
      <c r="A255" s="91"/>
      <c r="B255" s="53"/>
      <c r="C255" s="103" t="s">
        <v>36</v>
      </c>
      <c r="D255" s="221">
        <f t="shared" si="20"/>
        <v>0.89</v>
      </c>
      <c r="E255" s="217" t="s">
        <v>85</v>
      </c>
      <c r="F255" s="465" t="s">
        <v>66</v>
      </c>
      <c r="G255" s="239" t="str">
        <f>IF(C252="","",IF(AND(D255=$C$252,D255&lt;$C$252),H255,""))</f>
        <v/>
      </c>
      <c r="H255" s="222">
        <f>H254+J$254</f>
        <v>5</v>
      </c>
      <c r="I255" s="357"/>
      <c r="J255" s="533"/>
      <c r="K255" s="533"/>
      <c r="L255" s="533"/>
      <c r="M255" s="533"/>
      <c r="N255" s="533"/>
      <c r="O255" s="533"/>
      <c r="P255" s="533"/>
      <c r="Q255" s="533"/>
      <c r="R255" s="336"/>
      <c r="S255" s="339"/>
      <c r="T255" s="339"/>
      <c r="U255" s="7"/>
      <c r="V255" s="7"/>
    </row>
    <row r="256" spans="1:22">
      <c r="A256" s="91"/>
      <c r="B256" s="53"/>
      <c r="C256" s="103"/>
      <c r="D256" s="112"/>
      <c r="E256" s="75"/>
      <c r="F256" s="76"/>
      <c r="G256" s="9"/>
      <c r="H256" s="150"/>
      <c r="I256" s="357"/>
      <c r="J256" s="533"/>
      <c r="K256" s="533"/>
      <c r="L256" s="533"/>
      <c r="M256" s="533"/>
      <c r="N256" s="533"/>
      <c r="O256" s="533"/>
      <c r="P256" s="533"/>
      <c r="Q256" s="533"/>
      <c r="R256" s="336"/>
      <c r="S256" s="339"/>
      <c r="T256" s="339"/>
      <c r="U256" s="7"/>
      <c r="V256" s="7"/>
    </row>
    <row r="257" spans="1:22" ht="18" customHeight="1">
      <c r="A257" s="30" t="s">
        <v>302</v>
      </c>
      <c r="B257" s="29"/>
      <c r="C257" s="28" t="s">
        <v>47</v>
      </c>
      <c r="D257" s="24">
        <f>SUM(D259:D260)</f>
        <v>0</v>
      </c>
      <c r="E257" s="29"/>
      <c r="F257" s="180"/>
      <c r="G257" s="27" t="s">
        <v>14</v>
      </c>
      <c r="H257" s="26">
        <v>5</v>
      </c>
      <c r="I257" s="357"/>
      <c r="J257" s="533"/>
      <c r="K257" s="533"/>
      <c r="L257" s="533"/>
      <c r="M257" s="533"/>
      <c r="N257" s="533"/>
      <c r="O257" s="533"/>
      <c r="P257" s="533"/>
      <c r="Q257" s="533"/>
      <c r="R257" s="336"/>
      <c r="S257" s="339"/>
      <c r="T257" s="339"/>
      <c r="U257" s="7"/>
      <c r="V257" s="7"/>
    </row>
    <row r="258" spans="1:22" ht="25.5" customHeight="1">
      <c r="A258" s="126"/>
      <c r="B258" s="514" t="s">
        <v>40</v>
      </c>
      <c r="C258" s="514" t="s">
        <v>41</v>
      </c>
      <c r="D258" s="550" t="s">
        <v>13</v>
      </c>
      <c r="E258" s="550"/>
      <c r="F258" s="551"/>
      <c r="G258" s="201"/>
      <c r="H258" s="202"/>
      <c r="I258" s="357"/>
      <c r="J258" s="370"/>
      <c r="K258" s="533"/>
      <c r="L258" s="533"/>
      <c r="M258" s="533"/>
      <c r="N258" s="533"/>
      <c r="O258" s="533"/>
      <c r="P258" s="533"/>
      <c r="Q258" s="533"/>
      <c r="R258" s="336"/>
      <c r="S258" s="339"/>
      <c r="T258" s="339"/>
      <c r="U258" s="7"/>
      <c r="V258" s="7"/>
    </row>
    <row r="259" spans="1:22" ht="25.5" customHeight="1">
      <c r="A259" s="527" t="s">
        <v>303</v>
      </c>
      <c r="B259" s="527" t="s">
        <v>304</v>
      </c>
      <c r="C259" s="82" t="s">
        <v>22</v>
      </c>
      <c r="D259" s="552" t="str">
        <f>IF(C259="Yes",0.6*H257,"")</f>
        <v/>
      </c>
      <c r="E259" s="553"/>
      <c r="F259" s="554"/>
      <c r="G259" s="203"/>
      <c r="H259" s="204"/>
      <c r="I259" s="31"/>
      <c r="J259" s="385" t="s">
        <v>305</v>
      </c>
      <c r="K259" s="336"/>
      <c r="L259" s="336"/>
      <c r="M259" s="336"/>
      <c r="N259" s="336"/>
      <c r="O259" s="336"/>
      <c r="P259" s="336"/>
      <c r="Q259" s="336"/>
      <c r="R259" s="336"/>
    </row>
    <row r="260" spans="1:22" ht="27.75" customHeight="1">
      <c r="A260" s="527" t="s">
        <v>306</v>
      </c>
      <c r="B260" s="527" t="s">
        <v>307</v>
      </c>
      <c r="C260" s="82" t="s">
        <v>22</v>
      </c>
      <c r="D260" s="552" t="str">
        <f>IF(C260="Yes",0.4*H257,"")</f>
        <v/>
      </c>
      <c r="E260" s="553"/>
      <c r="F260" s="554"/>
      <c r="G260" s="203"/>
      <c r="H260" s="204"/>
      <c r="I260" s="31"/>
      <c r="J260" s="336"/>
      <c r="K260" s="336"/>
      <c r="L260" s="336"/>
      <c r="M260" s="336"/>
      <c r="N260" s="336"/>
      <c r="O260" s="336"/>
      <c r="P260" s="336"/>
      <c r="Q260" s="336"/>
      <c r="R260" s="336"/>
    </row>
    <row r="261" spans="1:22" ht="27.75" customHeight="1">
      <c r="A261" s="42"/>
      <c r="B261" s="53"/>
      <c r="C261" s="48"/>
      <c r="D261" s="16"/>
      <c r="E261" s="16"/>
      <c r="F261" s="16"/>
      <c r="G261" s="48"/>
      <c r="H261" s="205"/>
      <c r="I261" s="31"/>
      <c r="J261" s="336"/>
      <c r="K261" s="336"/>
      <c r="L261" s="336"/>
      <c r="M261" s="336"/>
      <c r="N261" s="336"/>
      <c r="O261" s="336"/>
      <c r="P261" s="336"/>
      <c r="Q261" s="336"/>
      <c r="R261" s="336"/>
    </row>
    <row r="262" spans="1:22" ht="18" customHeight="1">
      <c r="A262" s="30" t="s">
        <v>308</v>
      </c>
      <c r="B262" s="29"/>
      <c r="C262" s="28" t="s">
        <v>47</v>
      </c>
      <c r="D262" s="524">
        <f>SUM(G264:G269)</f>
        <v>0</v>
      </c>
      <c r="E262" s="29"/>
      <c r="F262" s="180"/>
      <c r="G262" s="27" t="s">
        <v>14</v>
      </c>
      <c r="H262" s="26">
        <v>10</v>
      </c>
      <c r="I262" s="415"/>
      <c r="J262" s="336"/>
      <c r="K262" s="336"/>
      <c r="L262" s="336"/>
      <c r="M262" s="336"/>
      <c r="N262" s="336"/>
      <c r="O262" s="336"/>
      <c r="P262" s="336"/>
      <c r="Q262" s="336"/>
      <c r="R262" s="336"/>
    </row>
    <row r="263" spans="1:22" ht="39.75" customHeight="1">
      <c r="A263" s="126"/>
      <c r="B263" s="514" t="s">
        <v>40</v>
      </c>
      <c r="C263" s="514" t="s">
        <v>41</v>
      </c>
      <c r="D263" s="540" t="s">
        <v>42</v>
      </c>
      <c r="E263" s="540"/>
      <c r="F263" s="540"/>
      <c r="G263" s="514" t="s">
        <v>43</v>
      </c>
      <c r="H263" s="200" t="s">
        <v>44</v>
      </c>
      <c r="I263" s="415"/>
      <c r="J263" s="336"/>
      <c r="K263" s="336"/>
      <c r="L263" s="336"/>
      <c r="M263" s="336"/>
      <c r="N263" s="336"/>
      <c r="O263" s="336"/>
      <c r="P263" s="336"/>
      <c r="Q263" s="336"/>
      <c r="R263" s="336"/>
    </row>
    <row r="264" spans="1:22" ht="25">
      <c r="A264" s="527" t="s">
        <v>309</v>
      </c>
      <c r="B264" s="527" t="s">
        <v>310</v>
      </c>
      <c r="C264" s="241"/>
      <c r="D264" s="221">
        <v>0</v>
      </c>
      <c r="E264" s="217" t="s">
        <v>188</v>
      </c>
      <c r="F264" s="522">
        <v>0.5</v>
      </c>
      <c r="G264" s="214" t="str">
        <f>IF(F264&gt;$C$266,H264,"")</f>
        <v/>
      </c>
      <c r="H264" s="222">
        <v>0</v>
      </c>
      <c r="I264" s="31"/>
      <c r="J264" s="361">
        <v>0.5</v>
      </c>
      <c r="K264" s="356" t="s">
        <v>311</v>
      </c>
      <c r="L264" s="336"/>
      <c r="M264" s="336"/>
      <c r="N264" s="336"/>
      <c r="O264" s="336"/>
      <c r="P264" s="336"/>
      <c r="Q264" s="336"/>
      <c r="R264" s="336"/>
    </row>
    <row r="265" spans="1:22" ht="25">
      <c r="A265" s="527" t="s">
        <v>312</v>
      </c>
      <c r="B265" s="527" t="s">
        <v>313</v>
      </c>
      <c r="C265" s="241"/>
      <c r="D265" s="221">
        <f>F264</f>
        <v>0.5</v>
      </c>
      <c r="E265" s="217" t="s">
        <v>54</v>
      </c>
      <c r="F265" s="522">
        <f>D265+$J$265</f>
        <v>0.6</v>
      </c>
      <c r="G265" s="214" t="str">
        <f>IF(OR(D265=$C$266,AND(D265&lt;$C$266, F265&gt;$C$266)),H265,"")</f>
        <v/>
      </c>
      <c r="H265" s="222">
        <f>H264+$J$267</f>
        <v>2</v>
      </c>
      <c r="I265" s="31"/>
      <c r="J265" s="372">
        <v>0.1</v>
      </c>
      <c r="K265" s="533" t="s">
        <v>314</v>
      </c>
      <c r="L265" s="336"/>
      <c r="M265" s="336"/>
      <c r="N265" s="336"/>
      <c r="O265" s="336"/>
      <c r="P265" s="336"/>
      <c r="Q265" s="336"/>
      <c r="R265" s="336"/>
    </row>
    <row r="266" spans="1:22" ht="12.5">
      <c r="A266" s="527" t="s">
        <v>315</v>
      </c>
      <c r="B266" s="137" t="s">
        <v>99</v>
      </c>
      <c r="C266" s="148" t="str">
        <f>IF(ISBLANK(C265),"",$C265/C264)</f>
        <v/>
      </c>
      <c r="D266" s="221">
        <f t="shared" ref="D266:D269" si="21">F265</f>
        <v>0.6</v>
      </c>
      <c r="E266" s="217" t="s">
        <v>54</v>
      </c>
      <c r="F266" s="522">
        <f>D266+$J$265</f>
        <v>0.7</v>
      </c>
      <c r="G266" s="214" t="str">
        <f t="shared" ref="G266:G268" si="22">IF(OR(D266=$C$266,AND(D266&lt;$C$266, F266&gt;$C$266)),H266,"")</f>
        <v/>
      </c>
      <c r="H266" s="222">
        <f>H265+$J$267</f>
        <v>4</v>
      </c>
      <c r="I266" s="31"/>
      <c r="J266" s="357">
        <v>10</v>
      </c>
      <c r="K266" s="533" t="s">
        <v>63</v>
      </c>
      <c r="L266" s="336"/>
      <c r="M266" s="336"/>
      <c r="N266" s="336"/>
      <c r="O266" s="336"/>
      <c r="P266" s="336"/>
      <c r="Q266" s="336"/>
      <c r="R266" s="336"/>
    </row>
    <row r="267" spans="1:22">
      <c r="A267" s="133"/>
      <c r="B267" s="134"/>
      <c r="C267" s="525"/>
      <c r="D267" s="221">
        <f t="shared" si="21"/>
        <v>0.7</v>
      </c>
      <c r="E267" s="217" t="s">
        <v>54</v>
      </c>
      <c r="F267" s="522">
        <f>D267+$J$265</f>
        <v>0.79999999999999993</v>
      </c>
      <c r="G267" s="214" t="str">
        <f t="shared" si="22"/>
        <v/>
      </c>
      <c r="H267" s="222">
        <f>H266+$J$267</f>
        <v>6</v>
      </c>
      <c r="I267" s="31"/>
      <c r="J267" s="357">
        <f>J266/5</f>
        <v>2</v>
      </c>
      <c r="K267" s="533" t="s">
        <v>67</v>
      </c>
      <c r="L267" s="336"/>
      <c r="M267" s="336"/>
      <c r="N267" s="336"/>
      <c r="O267" s="336"/>
      <c r="P267" s="336"/>
      <c r="Q267" s="336"/>
      <c r="R267" s="336"/>
    </row>
    <row r="268" spans="1:22">
      <c r="A268" s="133"/>
      <c r="B268" s="134"/>
      <c r="C268" s="525"/>
      <c r="D268" s="221">
        <f t="shared" si="21"/>
        <v>0.79999999999999993</v>
      </c>
      <c r="E268" s="217" t="s">
        <v>54</v>
      </c>
      <c r="F268" s="522">
        <f>D268+$J$265</f>
        <v>0.89999999999999991</v>
      </c>
      <c r="G268" s="214" t="str">
        <f t="shared" si="22"/>
        <v/>
      </c>
      <c r="H268" s="222">
        <f>H267+$J$267</f>
        <v>8</v>
      </c>
      <c r="I268" s="31"/>
      <c r="J268" s="357"/>
      <c r="K268" s="533"/>
      <c r="L268" s="336"/>
      <c r="M268" s="336"/>
      <c r="N268" s="336"/>
      <c r="O268" s="336"/>
      <c r="P268" s="336"/>
      <c r="Q268" s="336"/>
      <c r="R268" s="336"/>
    </row>
    <row r="269" spans="1:22">
      <c r="A269" s="133"/>
      <c r="B269" s="134"/>
      <c r="C269" s="525"/>
      <c r="D269" s="221">
        <f t="shared" si="21"/>
        <v>0.89999999999999991</v>
      </c>
      <c r="E269" s="217" t="s">
        <v>91</v>
      </c>
      <c r="F269" s="465" t="s">
        <v>66</v>
      </c>
      <c r="G269" s="214" t="str">
        <f>IF(C266="","",IF(OR(D269=$C$266,D269&lt;$C$266),H269,""))</f>
        <v/>
      </c>
      <c r="H269" s="222">
        <f>H268+$J$267</f>
        <v>10</v>
      </c>
      <c r="I269" s="31"/>
      <c r="J269" s="336"/>
      <c r="K269" s="336"/>
      <c r="L269" s="336"/>
      <c r="M269" s="336"/>
      <c r="N269" s="336"/>
      <c r="O269" s="336"/>
      <c r="P269" s="336"/>
      <c r="Q269" s="336"/>
      <c r="R269" s="336"/>
    </row>
    <row r="270" spans="1:22">
      <c r="A270" s="133"/>
      <c r="B270" s="134"/>
      <c r="C270" s="525"/>
      <c r="D270" s="16"/>
      <c r="E270" s="16"/>
      <c r="F270" s="16"/>
      <c r="G270" s="192"/>
      <c r="H270" s="192"/>
      <c r="I270" s="31"/>
      <c r="J270" s="336"/>
      <c r="K270" s="336"/>
      <c r="L270" s="336"/>
      <c r="M270" s="336"/>
      <c r="N270" s="336"/>
      <c r="O270" s="336"/>
      <c r="P270" s="336"/>
      <c r="Q270" s="336"/>
      <c r="R270" s="336"/>
    </row>
    <row r="271" spans="1:22" ht="13.5" thickBot="1">
      <c r="A271" s="133"/>
      <c r="B271" s="206"/>
      <c r="C271" s="193"/>
      <c r="D271" s="16"/>
      <c r="E271" s="16"/>
      <c r="F271" s="16"/>
      <c r="G271" s="525"/>
      <c r="H271" s="525"/>
      <c r="I271" s="31"/>
      <c r="J271" s="336"/>
      <c r="K271" s="336"/>
      <c r="L271" s="336"/>
      <c r="M271" s="336"/>
      <c r="N271" s="336"/>
      <c r="O271" s="336"/>
      <c r="P271" s="336"/>
      <c r="Q271" s="336"/>
      <c r="R271" s="336"/>
    </row>
    <row r="272" spans="1:22" ht="19" thickTop="1" thickBot="1">
      <c r="A272" s="114" t="s">
        <v>316</v>
      </c>
      <c r="B272" s="61"/>
      <c r="C272" s="60" t="s">
        <v>137</v>
      </c>
      <c r="D272" s="555">
        <f>SUM(D275:F278)</f>
        <v>0</v>
      </c>
      <c r="E272" s="556"/>
      <c r="F272" s="557"/>
      <c r="G272" s="58" t="s">
        <v>14</v>
      </c>
      <c r="H272" s="104">
        <v>16</v>
      </c>
      <c r="I272" s="31"/>
      <c r="J272" s="336"/>
      <c r="K272" s="336"/>
      <c r="L272" s="336"/>
      <c r="M272" s="336"/>
      <c r="N272" s="336"/>
      <c r="O272" s="336"/>
      <c r="P272" s="336"/>
      <c r="Q272" s="336"/>
      <c r="R272" s="336"/>
    </row>
    <row r="273" spans="1:20" s="7" customFormat="1" ht="16" thickTop="1">
      <c r="A273" s="486" t="s">
        <v>317</v>
      </c>
      <c r="B273" s="481"/>
      <c r="C273" s="482"/>
      <c r="D273" s="483"/>
      <c r="E273" s="483"/>
      <c r="F273" s="483"/>
      <c r="G273" s="484"/>
      <c r="H273" s="485"/>
      <c r="I273" s="480"/>
      <c r="J273" s="339"/>
      <c r="K273" s="339"/>
      <c r="L273" s="339"/>
      <c r="M273" s="339"/>
      <c r="N273" s="339"/>
      <c r="O273" s="339"/>
      <c r="P273" s="339"/>
      <c r="Q273" s="339"/>
      <c r="R273" s="339"/>
      <c r="S273" s="339"/>
      <c r="T273" s="339"/>
    </row>
    <row r="274" spans="1:20" ht="25.5" customHeight="1">
      <c r="A274" s="127"/>
      <c r="B274" s="514" t="s">
        <v>40</v>
      </c>
      <c r="C274" s="514" t="s">
        <v>41</v>
      </c>
      <c r="D274" s="540" t="s">
        <v>43</v>
      </c>
      <c r="E274" s="540"/>
      <c r="F274" s="540"/>
      <c r="G274" s="514"/>
      <c r="H274" s="184"/>
      <c r="I274" s="31"/>
      <c r="J274" s="336"/>
      <c r="K274" s="336"/>
      <c r="L274" s="336"/>
      <c r="M274" s="336"/>
      <c r="N274" s="336"/>
      <c r="O274" s="336"/>
      <c r="P274" s="336"/>
      <c r="Q274" s="336"/>
      <c r="R274" s="336"/>
    </row>
    <row r="275" spans="1:20" ht="43.5" customHeight="1">
      <c r="A275" s="527" t="s">
        <v>318</v>
      </c>
      <c r="B275" s="527" t="s">
        <v>319</v>
      </c>
      <c r="C275" s="82" t="s">
        <v>22</v>
      </c>
      <c r="D275" s="536" t="str">
        <f>IF(C275="Select yes or no","",IF(C275="yes","List names in Cell A276","Stop."))</f>
        <v/>
      </c>
      <c r="E275" s="537"/>
      <c r="F275" s="538"/>
      <c r="G275" s="327"/>
      <c r="H275" s="207"/>
      <c r="I275" s="31"/>
      <c r="J275" s="416"/>
      <c r="K275" s="336"/>
      <c r="L275" s="336"/>
      <c r="M275" s="336"/>
      <c r="N275" s="336"/>
      <c r="O275" s="336"/>
      <c r="P275" s="336"/>
      <c r="Q275" s="336"/>
      <c r="R275" s="336"/>
    </row>
    <row r="276" spans="1:20" ht="43.5" customHeight="1">
      <c r="A276" s="527" t="s">
        <v>320</v>
      </c>
      <c r="B276" s="527" t="s">
        <v>321</v>
      </c>
      <c r="C276" s="82" t="s">
        <v>22</v>
      </c>
      <c r="D276" s="536" t="str">
        <f>IF(C276="Select Yes or No","",IF((AND(C275="yes",C276="yes")),4,"0"))</f>
        <v/>
      </c>
      <c r="E276" s="537"/>
      <c r="F276" s="538"/>
      <c r="G276" s="130"/>
      <c r="H276" s="207"/>
      <c r="I276" s="31"/>
      <c r="J276" s="416"/>
      <c r="K276" s="336"/>
      <c r="L276" s="336"/>
      <c r="M276" s="336"/>
      <c r="N276" s="336"/>
      <c r="O276" s="336"/>
      <c r="P276" s="336"/>
      <c r="Q276" s="336"/>
      <c r="R276" s="336"/>
    </row>
    <row r="277" spans="1:20" ht="43.5" customHeight="1">
      <c r="A277" s="527" t="s">
        <v>322</v>
      </c>
      <c r="B277" s="527" t="s">
        <v>323</v>
      </c>
      <c r="C277" s="82" t="s">
        <v>22</v>
      </c>
      <c r="D277" s="536" t="str">
        <f>IF(C277="select yes or no","",IF((AND(C276="yes",C277="yes")),4,0))</f>
        <v/>
      </c>
      <c r="E277" s="537"/>
      <c r="F277" s="538"/>
      <c r="G277" s="130"/>
      <c r="H277" s="207"/>
      <c r="I277" s="31"/>
      <c r="J277" s="416"/>
      <c r="K277" s="336"/>
      <c r="L277" s="336"/>
      <c r="M277" s="336"/>
      <c r="N277" s="336"/>
      <c r="O277" s="336"/>
      <c r="P277" s="336"/>
      <c r="Q277" s="336"/>
      <c r="R277" s="336"/>
    </row>
    <row r="278" spans="1:20" ht="43.5" customHeight="1">
      <c r="A278" s="419" t="s">
        <v>324</v>
      </c>
      <c r="B278" s="527" t="s">
        <v>35</v>
      </c>
      <c r="C278" s="82" t="s">
        <v>22</v>
      </c>
      <c r="D278" s="536" t="str">
        <f>IF(C278="SELECT YES OR NO","",IF(C278="Yes",8,IF(C278="No",0)))</f>
        <v/>
      </c>
      <c r="E278" s="537"/>
      <c r="F278" s="538"/>
      <c r="G278" s="41"/>
      <c r="H278" s="81"/>
      <c r="I278" s="31"/>
      <c r="J278" s="372"/>
      <c r="K278" s="533"/>
      <c r="L278" s="336"/>
      <c r="M278" s="336"/>
      <c r="N278" s="336"/>
      <c r="O278" s="336"/>
      <c r="P278" s="336"/>
      <c r="Q278" s="336"/>
      <c r="R278" s="336"/>
    </row>
    <row r="279" spans="1:20">
      <c r="A279" s="42"/>
      <c r="B279" s="43"/>
      <c r="C279" s="525"/>
      <c r="D279" s="112"/>
      <c r="E279" s="75"/>
      <c r="F279" s="216"/>
      <c r="G279" s="41"/>
      <c r="H279" s="81"/>
      <c r="I279" s="31"/>
      <c r="J279" s="357"/>
      <c r="K279" s="533"/>
      <c r="L279" s="336"/>
      <c r="M279" s="336"/>
      <c r="N279" s="336"/>
      <c r="O279" s="336"/>
      <c r="P279" s="336"/>
      <c r="Q279" s="336"/>
      <c r="R279" s="336"/>
    </row>
    <row r="280" spans="1:20">
      <c r="A280" s="42"/>
      <c r="B280" s="43"/>
      <c r="C280" s="525"/>
      <c r="D280" s="112"/>
      <c r="E280" s="75"/>
      <c r="F280" s="216"/>
      <c r="G280" s="41"/>
      <c r="H280" s="81"/>
      <c r="I280" s="31"/>
      <c r="J280" s="357"/>
      <c r="K280" s="533"/>
      <c r="L280" s="336"/>
      <c r="M280" s="336"/>
      <c r="N280" s="336"/>
      <c r="O280" s="336"/>
      <c r="P280" s="336"/>
      <c r="Q280" s="336"/>
      <c r="R280" s="336"/>
    </row>
    <row r="281" spans="1:20">
      <c r="A281" s="42"/>
      <c r="B281" s="43"/>
      <c r="C281" s="525"/>
      <c r="D281" s="112"/>
      <c r="E281" s="75"/>
      <c r="F281" s="216"/>
      <c r="G281" s="41"/>
      <c r="H281" s="81"/>
      <c r="I281" s="31"/>
      <c r="J281" s="336"/>
      <c r="K281" s="336"/>
      <c r="L281" s="336"/>
      <c r="M281" s="336"/>
      <c r="N281" s="336"/>
      <c r="O281" s="336"/>
      <c r="P281" s="336"/>
      <c r="Q281" s="336"/>
      <c r="R281" s="336"/>
    </row>
    <row r="282" spans="1:20">
      <c r="A282" s="42"/>
      <c r="B282" s="43"/>
      <c r="C282" s="525"/>
      <c r="D282" s="112"/>
      <c r="E282" s="75"/>
      <c r="F282" s="216"/>
      <c r="G282" s="525"/>
      <c r="H282" s="525"/>
      <c r="I282" s="31"/>
      <c r="J282" s="336"/>
      <c r="K282" s="336"/>
      <c r="L282" s="336"/>
      <c r="M282" s="336"/>
      <c r="N282" s="336"/>
      <c r="O282" s="336"/>
      <c r="P282" s="336"/>
      <c r="Q282" s="336"/>
      <c r="R282" s="336"/>
    </row>
    <row r="283" spans="1:20" ht="12.75" customHeight="1">
      <c r="A283" s="321"/>
      <c r="B283" s="321"/>
      <c r="C283" s="218"/>
      <c r="D283" s="627" t="s">
        <v>325</v>
      </c>
      <c r="E283" s="627"/>
      <c r="F283" s="627"/>
      <c r="G283" s="41"/>
      <c r="H283" s="529"/>
      <c r="I283" s="357"/>
      <c r="J283" s="382"/>
      <c r="K283" s="533"/>
      <c r="L283" s="68"/>
      <c r="M283" s="68"/>
      <c r="N283" s="533"/>
      <c r="O283" s="533"/>
      <c r="P283" s="533"/>
      <c r="Q283" s="533"/>
      <c r="R283" s="336"/>
    </row>
    <row r="284" spans="1:20" ht="9" customHeight="1">
      <c r="A284" s="321"/>
      <c r="B284" s="321"/>
      <c r="C284" s="218"/>
      <c r="D284" s="112"/>
      <c r="E284" s="75"/>
      <c r="F284" s="216"/>
      <c r="G284" s="41"/>
      <c r="H284" s="529"/>
      <c r="I284" s="357"/>
      <c r="J284" s="382"/>
      <c r="K284" s="533"/>
      <c r="L284" s="68"/>
      <c r="M284" s="68"/>
      <c r="N284" s="533"/>
      <c r="O284" s="533"/>
      <c r="P284" s="533"/>
      <c r="Q284" s="533"/>
      <c r="R284" s="336"/>
    </row>
    <row r="285" spans="1:20">
      <c r="A285" s="42"/>
      <c r="B285" s="53"/>
      <c r="C285" s="525"/>
      <c r="D285" s="17"/>
      <c r="E285" s="17"/>
      <c r="F285" s="17"/>
      <c r="G285" s="525"/>
      <c r="H285" s="525"/>
      <c r="I285" s="31"/>
      <c r="J285" s="336"/>
      <c r="K285" s="336"/>
      <c r="L285" s="336"/>
      <c r="M285" s="336"/>
      <c r="N285" s="336"/>
      <c r="O285" s="336"/>
      <c r="P285" s="336"/>
      <c r="Q285" s="336"/>
      <c r="R285" s="336"/>
    </row>
    <row r="286" spans="1:20">
      <c r="A286" s="42"/>
      <c r="B286" s="53"/>
      <c r="C286" s="48"/>
      <c r="D286" s="16"/>
      <c r="E286" s="16"/>
      <c r="F286" s="16"/>
      <c r="G286" s="48"/>
      <c r="H286" s="48"/>
      <c r="I286" s="31"/>
      <c r="J286" s="336"/>
      <c r="K286" s="336"/>
      <c r="L286" s="336"/>
      <c r="M286" s="336"/>
      <c r="N286" s="336"/>
      <c r="O286" s="336"/>
      <c r="P286" s="336"/>
      <c r="Q286" s="336"/>
      <c r="R286" s="336"/>
    </row>
    <row r="287" spans="1:20">
      <c r="A287" s="42"/>
      <c r="B287" s="53"/>
      <c r="C287" s="48"/>
      <c r="D287" s="16"/>
      <c r="E287" s="16"/>
      <c r="F287" s="16"/>
      <c r="G287" s="48"/>
      <c r="H287" s="48"/>
      <c r="I287" s="31"/>
      <c r="J287" s="336"/>
      <c r="K287" s="336"/>
      <c r="L287" s="336"/>
      <c r="M287" s="336"/>
      <c r="N287" s="336"/>
      <c r="O287" s="336"/>
      <c r="P287" s="336"/>
      <c r="Q287" s="336"/>
      <c r="R287" s="336"/>
    </row>
    <row r="288" spans="1:20">
      <c r="I288" s="31"/>
      <c r="J288" s="336"/>
      <c r="K288" s="336"/>
      <c r="L288" s="336"/>
      <c r="M288" s="336"/>
      <c r="N288" s="336"/>
      <c r="O288" s="336"/>
      <c r="P288" s="336"/>
      <c r="Q288" s="336"/>
      <c r="R288" s="336"/>
    </row>
  </sheetData>
  <mergeCells count="99">
    <mergeCell ref="D276:F276"/>
    <mergeCell ref="D277:F277"/>
    <mergeCell ref="D283:F283"/>
    <mergeCell ref="D278:F278"/>
    <mergeCell ref="L84:O84"/>
    <mergeCell ref="D217:F217"/>
    <mergeCell ref="D214:F214"/>
    <mergeCell ref="B215:D215"/>
    <mergeCell ref="G222:H223"/>
    <mergeCell ref="D219:F219"/>
    <mergeCell ref="D220:F220"/>
    <mergeCell ref="D221:F221"/>
    <mergeCell ref="D222:F222"/>
    <mergeCell ref="D229:F229"/>
    <mergeCell ref="D230:F230"/>
    <mergeCell ref="D225:F225"/>
    <mergeCell ref="O183:P183"/>
    <mergeCell ref="D182:F182"/>
    <mergeCell ref="D88:F88"/>
    <mergeCell ref="D181:F181"/>
    <mergeCell ref="D130:F130"/>
    <mergeCell ref="H140:H141"/>
    <mergeCell ref="F115:G115"/>
    <mergeCell ref="D224:F224"/>
    <mergeCell ref="D226:F226"/>
    <mergeCell ref="A51:A52"/>
    <mergeCell ref="B51:B52"/>
    <mergeCell ref="C51:C52"/>
    <mergeCell ref="D83:F83"/>
    <mergeCell ref="D85:F85"/>
    <mergeCell ref="C91:H91"/>
    <mergeCell ref="A65:B65"/>
    <mergeCell ref="D81:F81"/>
    <mergeCell ref="D82:F82"/>
    <mergeCell ref="D84:F84"/>
    <mergeCell ref="A209:C209"/>
    <mergeCell ref="D227:F227"/>
    <mergeCell ref="E94:G94"/>
    <mergeCell ref="E103:G103"/>
    <mergeCell ref="A148:B148"/>
    <mergeCell ref="A141:B141"/>
    <mergeCell ref="A142:B142"/>
    <mergeCell ref="D122:F122"/>
    <mergeCell ref="A178:B178"/>
    <mergeCell ref="E140:G141"/>
    <mergeCell ref="A147:B147"/>
    <mergeCell ref="A175:B175"/>
    <mergeCell ref="A151:B151"/>
    <mergeCell ref="D145:F145"/>
    <mergeCell ref="D146:F146"/>
    <mergeCell ref="D218:F218"/>
    <mergeCell ref="D223:F223"/>
    <mergeCell ref="C7:G7"/>
    <mergeCell ref="D9:F9"/>
    <mergeCell ref="D24:F24"/>
    <mergeCell ref="D25:F25"/>
    <mergeCell ref="A26:B26"/>
    <mergeCell ref="D18:F18"/>
    <mergeCell ref="D14:F14"/>
    <mergeCell ref="D16:F16"/>
    <mergeCell ref="A33:B33"/>
    <mergeCell ref="A35:B35"/>
    <mergeCell ref="A43:A44"/>
    <mergeCell ref="B43:B44"/>
    <mergeCell ref="D11:F11"/>
    <mergeCell ref="D20:F20"/>
    <mergeCell ref="D21:H21"/>
    <mergeCell ref="C43:C44"/>
    <mergeCell ref="A32:B32"/>
    <mergeCell ref="A37:B37"/>
    <mergeCell ref="D39:H40"/>
    <mergeCell ref="D13:F13"/>
    <mergeCell ref="A1:H1"/>
    <mergeCell ref="A2:H2"/>
    <mergeCell ref="A3:H3"/>
    <mergeCell ref="C5:G5"/>
    <mergeCell ref="C6:G6"/>
    <mergeCell ref="D258:F258"/>
    <mergeCell ref="D259:F259"/>
    <mergeCell ref="D260:F260"/>
    <mergeCell ref="D263:F263"/>
    <mergeCell ref="D274:F274"/>
    <mergeCell ref="D272:F272"/>
    <mergeCell ref="D275:F275"/>
    <mergeCell ref="K217:O217"/>
    <mergeCell ref="D249:F249"/>
    <mergeCell ref="D237:F237"/>
    <mergeCell ref="C241:F241"/>
    <mergeCell ref="D232:F232"/>
    <mergeCell ref="D233:F233"/>
    <mergeCell ref="D234:F234"/>
    <mergeCell ref="D235:F235"/>
    <mergeCell ref="D236:F236"/>
    <mergeCell ref="C242:F242"/>
    <mergeCell ref="D240:F240"/>
    <mergeCell ref="D238:F238"/>
    <mergeCell ref="D239:F239"/>
    <mergeCell ref="D231:F231"/>
    <mergeCell ref="D228:F228"/>
  </mergeCells>
  <dataValidations count="4">
    <dataValidation type="list" allowBlank="1" showInputMessage="1" showErrorMessage="1" sqref="C148">
      <formula1>yn</formula1>
    </dataValidation>
    <dataValidation type="list" allowBlank="1" showInputMessage="1" showErrorMessage="1" promptTitle="Select YES or NO" sqref="C16 C18 C259:C260 C13:C14 C20:C21 C275:C278">
      <formula1>yn</formula1>
    </dataValidation>
    <dataValidation type="list" allowBlank="1" showInputMessage="1" showErrorMessage="1" sqref="C91:H91">
      <formula1>bedutil</formula1>
    </dataValidation>
    <dataValidation type="list" allowBlank="1" showInputMessage="1" showErrorMessage="1" sqref="C81:C84">
      <formula1>tf</formula1>
    </dataValidation>
  </dataValidations>
  <printOptions horizontalCentered="1"/>
  <pageMargins left="0.25" right="0.25" top="0.25" bottom="0.25" header="0.5" footer="0.3"/>
  <pageSetup scale="76" fitToHeight="0" orientation="landscape" r:id="rId1"/>
  <headerFooter alignWithMargins="0">
    <oddFooter>Page &amp;P&amp;R&amp;F</oddFooter>
  </headerFooter>
  <rowBreaks count="3" manualBreakCount="3">
    <brk id="57" max="7" man="1"/>
    <brk id="10" max="7" man="1"/>
    <brk id="256" max="7" man="1"/>
  </rowBreaks>
  <ignoredErrors>
    <ignoredError sqref="G148:G153 G27:G31 G43:G48 G52:G56 G190:H194 G244:G246 G250:G254 G156:G160 G173:G178 G189 G164:G165 C168 G123:G126 G131 C61 G75:G78 C175 C191 C240:F240 C241:F242 G211 C170" unlockedFormula="1"/>
    <ignoredError sqref="G58 G57" unlockedFormula="1" emptyCellReference="1"/>
    <ignoredError sqref="C36:H36 C64:D64 H59:H64 H32 C65:H65 C49:H49 C42:G42 C50:G50 C86 C152:C153 C45:F47 H43:H48 C53:F55 D33:H34 D60:F63 H51:H57 D44:F44 E52:F52 C120:H120 C57:F58 C56 C48:D48 D35:H35 D43 F43 D59 F59" emptyCellReference="1"/>
    <ignoredError sqref="J191 J200 J208" formula="1"/>
    <ignoredError sqref="G60:G64 G67:G71 G206:G210 G198:G203 G132:G134 G264:G269" evalError="1" unlockedFormula="1"/>
    <ignoredError sqref="G59 C140 C14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opLeftCell="A27" zoomScale="85" zoomScaleNormal="85" workbookViewId="0">
      <selection activeCell="E38" sqref="E38"/>
    </sheetView>
  </sheetViews>
  <sheetFormatPr defaultRowHeight="12.5"/>
  <cols>
    <col min="1" max="1" width="12" customWidth="1"/>
    <col min="2" max="2" width="53" customWidth="1"/>
    <col min="3" max="3" width="14.453125" customWidth="1"/>
    <col min="4" max="4" width="18.7265625" customWidth="1"/>
    <col min="5" max="5" width="37.54296875" customWidth="1"/>
  </cols>
  <sheetData>
    <row r="1" spans="1:5" s="8" customFormat="1" ht="24.75" customHeight="1">
      <c r="A1" s="637" t="s">
        <v>326</v>
      </c>
      <c r="B1" s="638"/>
      <c r="C1" s="638"/>
      <c r="D1" s="639"/>
      <c r="E1" s="502" t="s">
        <v>327</v>
      </c>
    </row>
    <row r="2" spans="1:5" ht="13">
      <c r="A2" s="152" t="s">
        <v>328</v>
      </c>
      <c r="B2" s="153" t="s">
        <v>329</v>
      </c>
      <c r="C2" s="153" t="s">
        <v>330</v>
      </c>
      <c r="D2" s="153" t="s">
        <v>331</v>
      </c>
      <c r="E2" s="500"/>
    </row>
    <row r="3" spans="1:5" ht="15.5">
      <c r="A3" s="640" t="s">
        <v>37</v>
      </c>
      <c r="B3" s="641"/>
      <c r="C3" s="156" t="s">
        <v>332</v>
      </c>
      <c r="D3" s="499">
        <f>SUM(C4:C11)</f>
        <v>93</v>
      </c>
      <c r="E3" s="501" t="s">
        <v>333</v>
      </c>
    </row>
    <row r="4" spans="1:5" ht="13">
      <c r="A4" s="319" t="s">
        <v>334</v>
      </c>
      <c r="B4" s="320" t="s">
        <v>335</v>
      </c>
      <c r="C4" s="172">
        <v>37</v>
      </c>
      <c r="D4" s="160" t="s">
        <v>36</v>
      </c>
    </row>
    <row r="5" spans="1:5" ht="13.5" thickBot="1">
      <c r="A5" s="319" t="s">
        <v>336</v>
      </c>
      <c r="B5" s="320" t="s">
        <v>337</v>
      </c>
      <c r="C5" s="172">
        <v>5</v>
      </c>
      <c r="D5" s="160"/>
    </row>
    <row r="6" spans="1:5" ht="13">
      <c r="A6" s="159">
        <v>2</v>
      </c>
      <c r="B6" s="163" t="s">
        <v>338</v>
      </c>
      <c r="C6" s="159">
        <v>15</v>
      </c>
      <c r="D6" s="155"/>
    </row>
    <row r="7" spans="1:5" ht="52">
      <c r="A7" s="159">
        <v>3</v>
      </c>
      <c r="B7" s="163" t="s">
        <v>339</v>
      </c>
      <c r="C7" s="164">
        <v>5</v>
      </c>
      <c r="D7" s="163"/>
      <c r="E7" s="507" t="s">
        <v>340</v>
      </c>
    </row>
    <row r="8" spans="1:5" ht="13">
      <c r="A8" s="159">
        <v>4</v>
      </c>
      <c r="B8" s="163" t="s">
        <v>341</v>
      </c>
      <c r="C8" s="159">
        <v>10</v>
      </c>
      <c r="D8" s="155"/>
    </row>
    <row r="9" spans="1:5" ht="13.5" thickBot="1">
      <c r="A9" s="159">
        <v>5</v>
      </c>
      <c r="B9" s="163" t="s">
        <v>342</v>
      </c>
      <c r="C9" s="159">
        <v>10</v>
      </c>
      <c r="D9" s="155"/>
    </row>
    <row r="10" spans="1:5" ht="13">
      <c r="A10" s="159">
        <v>6</v>
      </c>
      <c r="B10" s="498" t="s">
        <v>343</v>
      </c>
      <c r="C10" s="159">
        <v>3</v>
      </c>
      <c r="D10" s="155"/>
    </row>
    <row r="11" spans="1:5" ht="13.5" thickBot="1">
      <c r="A11" s="159">
        <v>7</v>
      </c>
      <c r="B11" s="163" t="s">
        <v>344</v>
      </c>
      <c r="C11" s="159">
        <v>8</v>
      </c>
      <c r="D11" s="155"/>
    </row>
    <row r="12" spans="1:5" ht="14.5">
      <c r="A12" s="165"/>
      <c r="B12" s="154"/>
      <c r="C12" s="165"/>
      <c r="D12" s="155"/>
      <c r="E12" s="136"/>
    </row>
    <row r="13" spans="1:5" ht="25">
      <c r="A13" s="642" t="s">
        <v>136</v>
      </c>
      <c r="B13" s="643"/>
      <c r="C13" s="166" t="s">
        <v>332</v>
      </c>
      <c r="D13" s="499">
        <f>SUM(C14:C18)</f>
        <v>18</v>
      </c>
      <c r="E13" s="503" t="s">
        <v>345</v>
      </c>
    </row>
    <row r="14" spans="1:5" ht="13">
      <c r="A14" s="161">
        <v>8</v>
      </c>
      <c r="B14" s="158" t="s">
        <v>346</v>
      </c>
      <c r="C14" s="159">
        <v>5</v>
      </c>
      <c r="D14" s="155" t="s">
        <v>36</v>
      </c>
    </row>
    <row r="15" spans="1:5" ht="13.5" thickBot="1">
      <c r="A15" s="159" t="s">
        <v>347</v>
      </c>
      <c r="B15" s="162" t="s">
        <v>348</v>
      </c>
      <c r="C15" s="159">
        <v>4</v>
      </c>
      <c r="D15" s="155"/>
    </row>
    <row r="16" spans="1:5" ht="13.5" thickBot="1">
      <c r="A16" s="159" t="s">
        <v>349</v>
      </c>
      <c r="B16" s="162" t="s">
        <v>350</v>
      </c>
      <c r="C16" s="159">
        <v>4</v>
      </c>
      <c r="D16" s="155"/>
    </row>
    <row r="17" spans="1:8" ht="13.5" thickBot="1">
      <c r="A17" s="159">
        <v>10</v>
      </c>
      <c r="B17" s="163" t="s">
        <v>351</v>
      </c>
      <c r="C17" s="159">
        <v>5</v>
      </c>
      <c r="D17" s="155"/>
      <c r="E17" s="136"/>
    </row>
    <row r="18" spans="1:8" ht="14.5">
      <c r="A18" s="159"/>
      <c r="B18" s="155"/>
      <c r="C18" s="167"/>
      <c r="D18" s="155"/>
    </row>
    <row r="19" spans="1:8" ht="50">
      <c r="A19" s="644" t="s">
        <v>178</v>
      </c>
      <c r="B19" s="645"/>
      <c r="C19" s="156" t="s">
        <v>332</v>
      </c>
      <c r="D19" s="499">
        <f>SUM(C20:C23)</f>
        <v>26</v>
      </c>
      <c r="E19" s="501" t="s">
        <v>352</v>
      </c>
    </row>
    <row r="20" spans="1:8" ht="13">
      <c r="A20" s="168">
        <v>11</v>
      </c>
      <c r="B20" s="169" t="s">
        <v>353</v>
      </c>
      <c r="C20" s="159">
        <v>5</v>
      </c>
      <c r="D20" s="155"/>
    </row>
    <row r="21" spans="1:8" ht="13.5" thickBot="1">
      <c r="A21" s="161">
        <v>12</v>
      </c>
      <c r="B21" s="163" t="s">
        <v>354</v>
      </c>
      <c r="C21" s="159">
        <v>4</v>
      </c>
      <c r="D21" s="155"/>
    </row>
    <row r="22" spans="1:8" ht="13.5" thickBot="1">
      <c r="A22" s="159">
        <v>13</v>
      </c>
      <c r="B22" s="163" t="s">
        <v>355</v>
      </c>
      <c r="C22" s="159">
        <v>12</v>
      </c>
      <c r="D22" s="155"/>
    </row>
    <row r="23" spans="1:8" ht="13.5" thickBot="1">
      <c r="A23" s="159">
        <v>14</v>
      </c>
      <c r="B23" s="163" t="s">
        <v>356</v>
      </c>
      <c r="C23" s="159">
        <v>5</v>
      </c>
      <c r="D23" s="155"/>
    </row>
    <row r="24" spans="1:8" ht="14.5">
      <c r="A24" s="170"/>
      <c r="B24" s="155"/>
      <c r="C24" s="167"/>
      <c r="D24" s="155"/>
    </row>
    <row r="25" spans="1:8" ht="37.5">
      <c r="A25" s="635" t="s">
        <v>224</v>
      </c>
      <c r="B25" s="636"/>
      <c r="C25" s="156" t="s">
        <v>332</v>
      </c>
      <c r="D25" s="499">
        <f>SUM(C26:C29)</f>
        <v>22</v>
      </c>
      <c r="E25" s="501" t="s">
        <v>357</v>
      </c>
    </row>
    <row r="26" spans="1:8" ht="18.75" customHeight="1">
      <c r="A26" s="161">
        <v>15</v>
      </c>
      <c r="B26" s="171" t="s">
        <v>358</v>
      </c>
      <c r="C26" s="172">
        <v>2</v>
      </c>
      <c r="D26" s="155" t="s">
        <v>36</v>
      </c>
    </row>
    <row r="27" spans="1:8" ht="36.75" customHeight="1">
      <c r="A27" s="159">
        <v>16</v>
      </c>
      <c r="B27" s="173" t="s">
        <v>359</v>
      </c>
      <c r="C27" s="172">
        <v>5</v>
      </c>
      <c r="D27" s="163"/>
      <c r="E27" s="508" t="s">
        <v>360</v>
      </c>
      <c r="H27" s="506"/>
    </row>
    <row r="28" spans="1:8" ht="37.5">
      <c r="A28" s="159">
        <v>17</v>
      </c>
      <c r="B28" s="155" t="s">
        <v>361</v>
      </c>
      <c r="C28" s="172">
        <v>5</v>
      </c>
      <c r="D28" s="163"/>
      <c r="E28" s="509" t="s">
        <v>362</v>
      </c>
    </row>
    <row r="29" spans="1:8" ht="50.25" customHeight="1">
      <c r="A29" s="159">
        <v>18</v>
      </c>
      <c r="B29" s="173" t="s">
        <v>363</v>
      </c>
      <c r="C29" s="505">
        <v>10</v>
      </c>
      <c r="D29" s="163"/>
      <c r="E29" s="510" t="s">
        <v>364</v>
      </c>
    </row>
    <row r="30" spans="1:8" ht="14.5">
      <c r="A30" s="159"/>
      <c r="B30" s="155"/>
      <c r="C30" s="167"/>
      <c r="D30" s="155"/>
    </row>
    <row r="31" spans="1:8" ht="14.5">
      <c r="A31" s="170"/>
      <c r="B31" s="155"/>
      <c r="C31" s="167"/>
      <c r="D31" s="155"/>
    </row>
    <row r="32" spans="1:8" ht="50">
      <c r="A32" s="635" t="s">
        <v>365</v>
      </c>
      <c r="B32" s="636"/>
      <c r="C32" s="166" t="s">
        <v>332</v>
      </c>
      <c r="D32" s="499">
        <f>SUM(C33:C36)</f>
        <v>25</v>
      </c>
      <c r="E32" s="503" t="s">
        <v>366</v>
      </c>
    </row>
    <row r="33" spans="1:5" ht="13">
      <c r="A33" s="161">
        <v>19</v>
      </c>
      <c r="B33" s="162" t="s">
        <v>367</v>
      </c>
      <c r="C33" s="159">
        <v>5</v>
      </c>
      <c r="D33" s="155" t="s">
        <v>36</v>
      </c>
    </row>
    <row r="34" spans="1:5" ht="13.5" thickBot="1">
      <c r="A34" s="159">
        <v>20</v>
      </c>
      <c r="B34" s="163" t="s">
        <v>368</v>
      </c>
      <c r="C34" s="159">
        <v>5</v>
      </c>
      <c r="D34" s="155"/>
    </row>
    <row r="35" spans="1:5" ht="21" customHeight="1" thickBot="1">
      <c r="A35" s="159">
        <v>21</v>
      </c>
      <c r="B35" s="173" t="s">
        <v>369</v>
      </c>
      <c r="C35" s="172">
        <v>5</v>
      </c>
      <c r="D35" s="155"/>
    </row>
    <row r="36" spans="1:5" ht="13.5" thickBot="1">
      <c r="A36" s="159">
        <v>22</v>
      </c>
      <c r="B36" s="155" t="s">
        <v>370</v>
      </c>
      <c r="C36" s="172">
        <v>10</v>
      </c>
      <c r="D36" s="155"/>
    </row>
    <row r="37" spans="1:5" ht="14.5">
      <c r="A37" s="159"/>
      <c r="B37" s="155"/>
      <c r="C37" s="167"/>
      <c r="D37" s="155"/>
    </row>
    <row r="38" spans="1:5" ht="25">
      <c r="A38" s="635" t="s">
        <v>371</v>
      </c>
      <c r="B38" s="636"/>
      <c r="C38" s="166" t="s">
        <v>332</v>
      </c>
      <c r="D38" s="499">
        <f>SUM(C39:C41)</f>
        <v>16</v>
      </c>
      <c r="E38" s="504" t="s">
        <v>372</v>
      </c>
    </row>
    <row r="39" spans="1:5" ht="23.25" customHeight="1">
      <c r="A39" s="161" t="s">
        <v>373</v>
      </c>
      <c r="B39" s="174" t="s">
        <v>317</v>
      </c>
      <c r="C39" s="172">
        <v>4</v>
      </c>
      <c r="D39" s="155" t="s">
        <v>36</v>
      </c>
    </row>
    <row r="40" spans="1:5" ht="23.25" customHeight="1" thickBot="1">
      <c r="A40" s="159" t="s">
        <v>374</v>
      </c>
      <c r="B40" s="174" t="s">
        <v>375</v>
      </c>
      <c r="C40" s="172">
        <v>4</v>
      </c>
      <c r="D40" s="155"/>
    </row>
    <row r="41" spans="1:5" ht="13.5" thickBot="1">
      <c r="A41" s="159">
        <v>24</v>
      </c>
      <c r="B41" s="175" t="s">
        <v>376</v>
      </c>
      <c r="C41" s="172">
        <v>8</v>
      </c>
      <c r="D41" s="155"/>
    </row>
    <row r="42" spans="1:5" ht="16" thickBot="1">
      <c r="A42" s="176"/>
      <c r="B42" s="177" t="s">
        <v>377</v>
      </c>
      <c r="C42" s="178"/>
      <c r="D42" s="179">
        <f>SUM(D3:D38)</f>
        <v>200</v>
      </c>
    </row>
    <row r="43" spans="1:5">
      <c r="C43" s="135" t="s">
        <v>378</v>
      </c>
    </row>
  </sheetData>
  <mergeCells count="7">
    <mergeCell ref="A32:B32"/>
    <mergeCell ref="A38:B38"/>
    <mergeCell ref="A1:D1"/>
    <mergeCell ref="A3:B3"/>
    <mergeCell ref="A13:B13"/>
    <mergeCell ref="A19:B19"/>
    <mergeCell ref="A25:B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="80" zoomScaleNormal="80" workbookViewId="0">
      <selection activeCell="D1" sqref="D1"/>
    </sheetView>
  </sheetViews>
  <sheetFormatPr defaultRowHeight="12.5"/>
  <cols>
    <col min="1" max="1" width="23.81640625" bestFit="1" customWidth="1"/>
    <col min="2" max="2" width="19.453125" bestFit="1" customWidth="1"/>
    <col min="3" max="3" width="14.7265625" bestFit="1" customWidth="1"/>
    <col min="4" max="4" width="58.453125" bestFit="1" customWidth="1"/>
  </cols>
  <sheetData>
    <row r="1" spans="1:5">
      <c r="A1" s="333" t="s">
        <v>129</v>
      </c>
      <c r="B1" s="135" t="s">
        <v>22</v>
      </c>
      <c r="C1" s="135" t="s">
        <v>379</v>
      </c>
      <c r="D1" s="188" t="s">
        <v>380</v>
      </c>
      <c r="E1" s="7"/>
    </row>
    <row r="2" spans="1:5">
      <c r="A2" s="334" t="b">
        <v>1</v>
      </c>
      <c r="B2" s="135" t="s">
        <v>381</v>
      </c>
      <c r="C2" s="135" t="s">
        <v>382</v>
      </c>
      <c r="D2" s="188" t="s">
        <v>383</v>
      </c>
      <c r="E2" s="7"/>
    </row>
    <row r="3" spans="1:5">
      <c r="A3" s="334" t="b">
        <v>0</v>
      </c>
      <c r="B3" s="135" t="s">
        <v>181</v>
      </c>
      <c r="C3" s="135" t="s">
        <v>384</v>
      </c>
      <c r="D3" s="188" t="s">
        <v>385</v>
      </c>
      <c r="E3" s="7"/>
    </row>
    <row r="4" spans="1:5">
      <c r="C4" s="135" t="s">
        <v>386</v>
      </c>
      <c r="D4" s="188" t="s">
        <v>142</v>
      </c>
      <c r="E4" s="7"/>
    </row>
    <row r="5" spans="1:5">
      <c r="E5" s="29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topLeftCell="A25" workbookViewId="0">
      <selection activeCell="B30" sqref="B30"/>
    </sheetView>
  </sheetViews>
  <sheetFormatPr defaultRowHeight="12.5"/>
  <cols>
    <col min="1" max="1" width="7.81640625" customWidth="1"/>
    <col min="2" max="2" width="44.54296875" customWidth="1"/>
    <col min="3" max="3" width="13.453125" customWidth="1"/>
    <col min="4" max="4" width="11.26953125" customWidth="1"/>
    <col min="6" max="6" width="6.453125" customWidth="1"/>
    <col min="7" max="7" width="45.26953125" customWidth="1"/>
    <col min="8" max="8" width="8.453125" style="334" customWidth="1"/>
    <col min="9" max="9" width="11.54296875" customWidth="1"/>
  </cols>
  <sheetData>
    <row r="1" spans="1:9" ht="19" thickBot="1">
      <c r="A1" s="637" t="s">
        <v>387</v>
      </c>
      <c r="B1" s="638"/>
      <c r="C1" s="638"/>
      <c r="D1" s="639"/>
      <c r="F1" s="646" t="s">
        <v>388</v>
      </c>
      <c r="G1" s="647"/>
      <c r="H1" s="647"/>
      <c r="I1" s="648"/>
    </row>
    <row r="2" spans="1:9" ht="13.5" thickBot="1">
      <c r="A2" s="152" t="s">
        <v>328</v>
      </c>
      <c r="B2" s="153" t="s">
        <v>329</v>
      </c>
      <c r="C2" s="153" t="s">
        <v>330</v>
      </c>
      <c r="D2" s="153" t="s">
        <v>331</v>
      </c>
      <c r="F2" s="435" t="s">
        <v>328</v>
      </c>
      <c r="G2" s="436" t="s">
        <v>329</v>
      </c>
      <c r="H2" s="437" t="s">
        <v>330</v>
      </c>
      <c r="I2" s="438" t="s">
        <v>331</v>
      </c>
    </row>
    <row r="3" spans="1:9" ht="16" thickBot="1">
      <c r="A3" s="640" t="s">
        <v>37</v>
      </c>
      <c r="B3" s="641"/>
      <c r="C3" s="156" t="s">
        <v>332</v>
      </c>
      <c r="D3" s="157">
        <f>SUM(C4:C11)</f>
        <v>93</v>
      </c>
      <c r="F3" s="461" t="s">
        <v>37</v>
      </c>
      <c r="G3" s="462"/>
      <c r="H3" s="463" t="s">
        <v>332</v>
      </c>
      <c r="I3" s="464">
        <v>88</v>
      </c>
    </row>
    <row r="4" spans="1:9" ht="13.5" thickBot="1">
      <c r="A4" s="319" t="s">
        <v>334</v>
      </c>
      <c r="B4" s="320" t="s">
        <v>335</v>
      </c>
      <c r="C4" s="172">
        <v>37</v>
      </c>
      <c r="D4" s="160" t="s">
        <v>36</v>
      </c>
      <c r="F4" s="439">
        <v>1</v>
      </c>
      <c r="G4" s="440" t="s">
        <v>335</v>
      </c>
      <c r="H4" s="441">
        <v>37</v>
      </c>
      <c r="I4" s="442" t="s">
        <v>36</v>
      </c>
    </row>
    <row r="5" spans="1:9" ht="25.5" thickBot="1">
      <c r="A5" s="319" t="s">
        <v>336</v>
      </c>
      <c r="B5" s="320" t="s">
        <v>337</v>
      </c>
      <c r="C5" s="172">
        <v>5</v>
      </c>
      <c r="D5" s="160"/>
      <c r="F5" s="439">
        <v>2</v>
      </c>
      <c r="G5" s="440" t="s">
        <v>338</v>
      </c>
      <c r="H5" s="441">
        <v>15</v>
      </c>
      <c r="I5" s="442"/>
    </row>
    <row r="6" spans="1:9" ht="25.5" thickBot="1">
      <c r="A6" s="159">
        <v>2</v>
      </c>
      <c r="B6" s="163" t="s">
        <v>338</v>
      </c>
      <c r="C6" s="159">
        <v>15</v>
      </c>
      <c r="D6" s="155"/>
      <c r="F6" s="439">
        <v>3</v>
      </c>
      <c r="G6" s="440" t="s">
        <v>339</v>
      </c>
      <c r="H6" s="441">
        <v>5</v>
      </c>
      <c r="I6" s="442"/>
    </row>
    <row r="7" spans="1:9" ht="13.5" thickBot="1">
      <c r="A7" s="159">
        <v>3</v>
      </c>
      <c r="B7" s="163" t="s">
        <v>339</v>
      </c>
      <c r="C7" s="164">
        <v>5</v>
      </c>
      <c r="D7" s="155"/>
      <c r="F7" s="439">
        <v>4</v>
      </c>
      <c r="G7" s="440" t="s">
        <v>341</v>
      </c>
      <c r="H7" s="441">
        <v>10</v>
      </c>
      <c r="I7" s="442"/>
    </row>
    <row r="8" spans="1:9" ht="13.5" thickBot="1">
      <c r="A8" s="159">
        <v>4</v>
      </c>
      <c r="B8" s="163" t="s">
        <v>341</v>
      </c>
      <c r="C8" s="159">
        <v>10</v>
      </c>
      <c r="D8" s="155"/>
      <c r="F8" s="439">
        <v>5</v>
      </c>
      <c r="G8" s="440" t="s">
        <v>342</v>
      </c>
      <c r="H8" s="441">
        <v>10</v>
      </c>
      <c r="I8" s="442"/>
    </row>
    <row r="9" spans="1:9" ht="13.5" thickBot="1">
      <c r="A9" s="159">
        <v>5</v>
      </c>
      <c r="B9" s="163" t="s">
        <v>342</v>
      </c>
      <c r="C9" s="159">
        <v>10</v>
      </c>
      <c r="D9" s="155"/>
      <c r="F9" s="439">
        <v>6</v>
      </c>
      <c r="G9" s="440" t="s">
        <v>389</v>
      </c>
      <c r="H9" s="441">
        <v>4</v>
      </c>
      <c r="I9" s="442"/>
    </row>
    <row r="10" spans="1:9" ht="25.5" thickBot="1">
      <c r="A10" s="159">
        <v>6</v>
      </c>
      <c r="B10" s="163" t="s">
        <v>390</v>
      </c>
      <c r="C10" s="159">
        <v>3</v>
      </c>
      <c r="D10" s="155"/>
      <c r="F10" s="439">
        <v>7</v>
      </c>
      <c r="G10" s="440" t="s">
        <v>391</v>
      </c>
      <c r="H10" s="441">
        <v>3</v>
      </c>
      <c r="I10" s="442"/>
    </row>
    <row r="11" spans="1:9" ht="13.5" thickBot="1">
      <c r="A11" s="159">
        <v>7</v>
      </c>
      <c r="B11" s="163" t="s">
        <v>344</v>
      </c>
      <c r="C11" s="159">
        <v>8</v>
      </c>
      <c r="D11" s="155"/>
      <c r="F11" s="444">
        <v>8</v>
      </c>
      <c r="G11" s="448" t="s">
        <v>344</v>
      </c>
      <c r="H11" s="446">
        <v>4</v>
      </c>
      <c r="I11" s="447"/>
    </row>
    <row r="12" spans="1:9" ht="15" thickBot="1">
      <c r="A12" s="165"/>
      <c r="B12" s="154"/>
      <c r="C12" s="165"/>
      <c r="D12" s="155"/>
      <c r="F12" s="439"/>
      <c r="G12" s="443"/>
      <c r="H12" s="441"/>
      <c r="I12" s="442"/>
    </row>
    <row r="13" spans="1:9" ht="16" thickBot="1">
      <c r="A13" s="642" t="s">
        <v>136</v>
      </c>
      <c r="B13" s="643"/>
      <c r="C13" s="166" t="s">
        <v>332</v>
      </c>
      <c r="D13" s="157">
        <f>SUM(C14:C18)</f>
        <v>18</v>
      </c>
      <c r="F13" s="461" t="s">
        <v>136</v>
      </c>
      <c r="G13" s="462"/>
      <c r="H13" s="463" t="s">
        <v>332</v>
      </c>
      <c r="I13" s="464">
        <v>11</v>
      </c>
    </row>
    <row r="14" spans="1:9" ht="13.5" thickBot="1">
      <c r="A14" s="161">
        <v>8</v>
      </c>
      <c r="B14" s="158" t="s">
        <v>346</v>
      </c>
      <c r="C14" s="159">
        <v>5</v>
      </c>
      <c r="D14" s="155" t="s">
        <v>36</v>
      </c>
      <c r="F14" s="439">
        <v>9</v>
      </c>
      <c r="G14" s="443" t="s">
        <v>346</v>
      </c>
      <c r="H14" s="441">
        <v>2</v>
      </c>
      <c r="I14" s="442" t="s">
        <v>36</v>
      </c>
    </row>
    <row r="15" spans="1:9" ht="13.5" thickBot="1">
      <c r="A15" s="159" t="s">
        <v>347</v>
      </c>
      <c r="B15" s="162" t="s">
        <v>348</v>
      </c>
      <c r="C15" s="159">
        <v>4</v>
      </c>
      <c r="D15" s="155"/>
      <c r="F15" s="439">
        <v>10</v>
      </c>
      <c r="G15" s="443" t="s">
        <v>392</v>
      </c>
      <c r="H15" s="441">
        <v>4</v>
      </c>
      <c r="I15" s="442"/>
    </row>
    <row r="16" spans="1:9" ht="13.5" thickBot="1">
      <c r="A16" s="159" t="s">
        <v>349</v>
      </c>
      <c r="B16" s="162" t="s">
        <v>350</v>
      </c>
      <c r="C16" s="159">
        <v>4</v>
      </c>
      <c r="D16" s="155"/>
      <c r="F16" s="439">
        <v>11</v>
      </c>
      <c r="G16" s="443" t="s">
        <v>351</v>
      </c>
      <c r="H16" s="441">
        <v>5</v>
      </c>
      <c r="I16" s="442"/>
    </row>
    <row r="17" spans="1:9" ht="13.5" thickBot="1">
      <c r="A17" s="159">
        <v>10</v>
      </c>
      <c r="B17" s="163" t="s">
        <v>351</v>
      </c>
      <c r="C17" s="159">
        <v>5</v>
      </c>
      <c r="D17" s="155"/>
      <c r="F17" s="444"/>
      <c r="G17" s="445"/>
      <c r="H17" s="446"/>
      <c r="I17" s="447"/>
    </row>
    <row r="18" spans="1:9" ht="15" thickBot="1">
      <c r="A18" s="159"/>
      <c r="B18" s="155"/>
      <c r="C18" s="167"/>
      <c r="D18" s="155"/>
      <c r="F18" s="457" t="s">
        <v>178</v>
      </c>
      <c r="G18" s="458"/>
      <c r="H18" s="459" t="s">
        <v>332</v>
      </c>
      <c r="I18" s="460">
        <v>27</v>
      </c>
    </row>
    <row r="19" spans="1:9" ht="16" thickBot="1">
      <c r="A19" s="644" t="s">
        <v>178</v>
      </c>
      <c r="B19" s="645"/>
      <c r="C19" s="156" t="s">
        <v>332</v>
      </c>
      <c r="D19" s="157">
        <f>SUM(C20:C23)</f>
        <v>26</v>
      </c>
      <c r="F19" s="439">
        <v>12</v>
      </c>
      <c r="G19" s="443" t="s">
        <v>353</v>
      </c>
      <c r="H19" s="441">
        <v>5</v>
      </c>
      <c r="I19" s="442"/>
    </row>
    <row r="20" spans="1:9" ht="13.5" thickBot="1">
      <c r="A20" s="168">
        <v>11</v>
      </c>
      <c r="B20" s="169" t="s">
        <v>353</v>
      </c>
      <c r="C20" s="159">
        <v>5</v>
      </c>
      <c r="D20" s="155"/>
      <c r="F20" s="439">
        <v>13</v>
      </c>
      <c r="G20" s="443" t="s">
        <v>354</v>
      </c>
      <c r="H20" s="441">
        <v>4</v>
      </c>
      <c r="I20" s="442"/>
    </row>
    <row r="21" spans="1:9" ht="13.5" thickBot="1">
      <c r="A21" s="161">
        <v>12</v>
      </c>
      <c r="B21" s="163" t="s">
        <v>354</v>
      </c>
      <c r="C21" s="159">
        <v>4</v>
      </c>
      <c r="D21" s="155"/>
      <c r="F21" s="439">
        <v>14</v>
      </c>
      <c r="G21" s="443" t="s">
        <v>355</v>
      </c>
      <c r="H21" s="441">
        <v>11</v>
      </c>
      <c r="I21" s="442"/>
    </row>
    <row r="22" spans="1:9" ht="13.5" thickBot="1">
      <c r="A22" s="159">
        <v>13</v>
      </c>
      <c r="B22" s="163" t="s">
        <v>355</v>
      </c>
      <c r="C22" s="159">
        <v>12</v>
      </c>
      <c r="D22" s="155"/>
      <c r="F22" s="439">
        <v>15</v>
      </c>
      <c r="G22" s="443" t="s">
        <v>393</v>
      </c>
      <c r="H22" s="441">
        <v>2</v>
      </c>
      <c r="I22" s="442"/>
    </row>
    <row r="23" spans="1:9" ht="13.5" thickBot="1">
      <c r="A23" s="159">
        <v>14</v>
      </c>
      <c r="B23" s="163" t="s">
        <v>356</v>
      </c>
      <c r="C23" s="159">
        <v>5</v>
      </c>
      <c r="D23" s="155"/>
      <c r="F23" s="439">
        <v>16</v>
      </c>
      <c r="G23" s="443" t="s">
        <v>356</v>
      </c>
      <c r="H23" s="441">
        <v>5</v>
      </c>
      <c r="I23" s="442"/>
    </row>
    <row r="24" spans="1:9" ht="15" thickBot="1">
      <c r="A24" s="170"/>
      <c r="B24" s="155"/>
      <c r="C24" s="167"/>
      <c r="D24" s="155"/>
      <c r="F24" s="439"/>
      <c r="G24" s="443"/>
      <c r="H24" s="441"/>
      <c r="I24" s="442"/>
    </row>
    <row r="25" spans="1:9" ht="16" thickBot="1">
      <c r="A25" s="635" t="s">
        <v>224</v>
      </c>
      <c r="B25" s="636"/>
      <c r="C25" s="156" t="s">
        <v>332</v>
      </c>
      <c r="D25" s="157">
        <f>SUM(C26:C29)</f>
        <v>22</v>
      </c>
      <c r="F25" s="457" t="s">
        <v>224</v>
      </c>
      <c r="G25" s="458"/>
      <c r="H25" s="459" t="s">
        <v>332</v>
      </c>
      <c r="I25" s="460">
        <v>22</v>
      </c>
    </row>
    <row r="26" spans="1:9" ht="13.5" thickBot="1">
      <c r="A26" s="161">
        <v>15</v>
      </c>
      <c r="B26" s="171" t="s">
        <v>358</v>
      </c>
      <c r="C26" s="172">
        <v>2</v>
      </c>
      <c r="D26" s="155" t="s">
        <v>36</v>
      </c>
      <c r="F26" s="439">
        <v>17</v>
      </c>
      <c r="G26" s="443" t="s">
        <v>358</v>
      </c>
      <c r="H26" s="441">
        <v>2</v>
      </c>
      <c r="I26" s="442" t="s">
        <v>36</v>
      </c>
    </row>
    <row r="27" spans="1:9" ht="13.5" thickBot="1">
      <c r="A27" s="159">
        <v>16</v>
      </c>
      <c r="B27" s="173" t="s">
        <v>359</v>
      </c>
      <c r="C27" s="172">
        <v>5</v>
      </c>
      <c r="D27" s="155"/>
      <c r="F27" s="439">
        <v>18</v>
      </c>
      <c r="G27" s="443" t="s">
        <v>359</v>
      </c>
      <c r="H27" s="441">
        <v>5</v>
      </c>
      <c r="I27" s="442"/>
    </row>
    <row r="28" spans="1:9" ht="13.5" thickBot="1">
      <c r="A28" s="159">
        <v>17</v>
      </c>
      <c r="B28" s="155" t="s">
        <v>361</v>
      </c>
      <c r="C28" s="172">
        <v>5</v>
      </c>
      <c r="D28" s="155"/>
      <c r="F28" s="439">
        <v>19</v>
      </c>
      <c r="G28" s="443" t="s">
        <v>361</v>
      </c>
      <c r="H28" s="441">
        <v>5</v>
      </c>
      <c r="I28" s="442"/>
    </row>
    <row r="29" spans="1:9" ht="13.5" thickBot="1">
      <c r="A29" s="159">
        <v>18</v>
      </c>
      <c r="B29" s="173" t="s">
        <v>363</v>
      </c>
      <c r="C29" s="420">
        <v>10</v>
      </c>
      <c r="D29" s="155"/>
      <c r="F29" s="439">
        <v>20</v>
      </c>
      <c r="G29" s="443" t="s">
        <v>394</v>
      </c>
      <c r="H29" s="441">
        <v>5</v>
      </c>
      <c r="I29" s="442"/>
    </row>
    <row r="30" spans="1:9" ht="15" thickBot="1">
      <c r="A30" s="159"/>
      <c r="B30" s="155"/>
      <c r="C30" s="167"/>
      <c r="D30" s="155"/>
      <c r="F30" s="439">
        <v>21</v>
      </c>
      <c r="G30" s="443" t="s">
        <v>395</v>
      </c>
      <c r="H30" s="441">
        <v>5</v>
      </c>
      <c r="I30" s="442"/>
    </row>
    <row r="31" spans="1:9" ht="15" thickBot="1">
      <c r="A31" s="170"/>
      <c r="B31" s="155"/>
      <c r="C31" s="167"/>
      <c r="D31" s="155"/>
      <c r="F31" s="439"/>
      <c r="G31" s="443"/>
      <c r="H31" s="441"/>
      <c r="I31" s="442"/>
    </row>
    <row r="32" spans="1:9" ht="16" thickBot="1">
      <c r="A32" s="635" t="s">
        <v>365</v>
      </c>
      <c r="B32" s="636"/>
      <c r="C32" s="166" t="s">
        <v>332</v>
      </c>
      <c r="D32" s="157">
        <f>SUM(C33:C36)</f>
        <v>25</v>
      </c>
      <c r="F32" s="457" t="s">
        <v>396</v>
      </c>
      <c r="G32" s="458"/>
      <c r="H32" s="459" t="s">
        <v>332</v>
      </c>
      <c r="I32" s="460">
        <v>14</v>
      </c>
    </row>
    <row r="33" spans="1:9" ht="13.5" thickBot="1">
      <c r="A33" s="161">
        <v>19</v>
      </c>
      <c r="B33" s="162" t="s">
        <v>367</v>
      </c>
      <c r="C33" s="159">
        <v>5</v>
      </c>
      <c r="D33" s="155" t="s">
        <v>36</v>
      </c>
      <c r="F33" s="439">
        <v>22</v>
      </c>
      <c r="G33" s="443" t="s">
        <v>397</v>
      </c>
      <c r="H33" s="441">
        <v>6</v>
      </c>
      <c r="I33" s="442" t="s">
        <v>36</v>
      </c>
    </row>
    <row r="34" spans="1:9" ht="13.5" thickBot="1">
      <c r="A34" s="159">
        <v>20</v>
      </c>
      <c r="B34" s="163" t="s">
        <v>368</v>
      </c>
      <c r="C34" s="159">
        <v>5</v>
      </c>
      <c r="D34" s="155"/>
      <c r="F34" s="439">
        <v>23</v>
      </c>
      <c r="G34" s="443" t="s">
        <v>398</v>
      </c>
      <c r="H34" s="441">
        <v>3</v>
      </c>
      <c r="I34" s="442"/>
    </row>
    <row r="35" spans="1:9" ht="13.5" thickBot="1">
      <c r="A35" s="159">
        <v>21</v>
      </c>
      <c r="B35" s="173" t="s">
        <v>369</v>
      </c>
      <c r="C35" s="172">
        <v>5</v>
      </c>
      <c r="D35" s="155"/>
      <c r="F35" s="439">
        <v>24</v>
      </c>
      <c r="G35" s="443" t="s">
        <v>399</v>
      </c>
      <c r="H35" s="441">
        <v>5</v>
      </c>
      <c r="I35" s="442"/>
    </row>
    <row r="36" spans="1:9" ht="13.5" thickBot="1">
      <c r="A36" s="159">
        <v>22</v>
      </c>
      <c r="B36" s="155" t="s">
        <v>370</v>
      </c>
      <c r="C36" s="172">
        <v>10</v>
      </c>
      <c r="D36" s="155"/>
      <c r="F36" s="439"/>
      <c r="G36" s="443"/>
      <c r="H36" s="441"/>
      <c r="I36" s="442"/>
    </row>
    <row r="37" spans="1:9" ht="15" thickBot="1">
      <c r="A37" s="159"/>
      <c r="B37" s="155"/>
      <c r="C37" s="167"/>
      <c r="D37" s="155"/>
      <c r="F37" s="457" t="s">
        <v>365</v>
      </c>
      <c r="G37" s="458"/>
      <c r="H37" s="459" t="s">
        <v>332</v>
      </c>
      <c r="I37" s="460">
        <v>25</v>
      </c>
    </row>
    <row r="38" spans="1:9" ht="16" thickBot="1">
      <c r="A38" s="635" t="s">
        <v>371</v>
      </c>
      <c r="B38" s="636"/>
      <c r="C38" s="166" t="s">
        <v>332</v>
      </c>
      <c r="D38" s="157">
        <f>SUM(C39:C40)</f>
        <v>16</v>
      </c>
      <c r="F38" s="439">
        <v>25</v>
      </c>
      <c r="G38" s="443" t="s">
        <v>367</v>
      </c>
      <c r="H38" s="441">
        <v>5</v>
      </c>
      <c r="I38" s="442" t="s">
        <v>36</v>
      </c>
    </row>
    <row r="39" spans="1:9" ht="13.5" thickBot="1">
      <c r="A39" s="161">
        <v>23</v>
      </c>
      <c r="B39" s="174" t="s">
        <v>400</v>
      </c>
      <c r="C39" s="172">
        <v>8</v>
      </c>
      <c r="D39" s="155" t="s">
        <v>36</v>
      </c>
      <c r="F39" s="439">
        <v>26</v>
      </c>
      <c r="G39" s="443" t="s">
        <v>368</v>
      </c>
      <c r="H39" s="441">
        <v>5</v>
      </c>
      <c r="I39" s="442"/>
    </row>
    <row r="40" spans="1:9" ht="13.5" thickBot="1">
      <c r="A40" s="159">
        <v>24</v>
      </c>
      <c r="B40" s="175" t="s">
        <v>376</v>
      </c>
      <c r="C40" s="172">
        <v>8</v>
      </c>
      <c r="D40" s="155"/>
      <c r="F40" s="439">
        <v>27</v>
      </c>
      <c r="G40" s="443" t="s">
        <v>369</v>
      </c>
      <c r="H40" s="441">
        <v>5</v>
      </c>
      <c r="I40" s="442"/>
    </row>
    <row r="41" spans="1:9" ht="16" thickBot="1">
      <c r="A41" s="176"/>
      <c r="B41" s="177" t="s">
        <v>377</v>
      </c>
      <c r="C41" s="178"/>
      <c r="D41" s="179">
        <f>SUM(D3:D38)</f>
        <v>200</v>
      </c>
      <c r="F41" s="439">
        <v>28</v>
      </c>
      <c r="G41" s="443" t="s">
        <v>370</v>
      </c>
      <c r="H41" s="441">
        <v>10</v>
      </c>
      <c r="I41" s="442"/>
    </row>
    <row r="42" spans="1:9">
      <c r="F42" s="439"/>
      <c r="G42" s="443"/>
      <c r="H42" s="441"/>
      <c r="I42" s="442"/>
    </row>
    <row r="43" spans="1:9" ht="13">
      <c r="F43" s="457" t="s">
        <v>371</v>
      </c>
      <c r="G43" s="458"/>
      <c r="H43" s="459" t="s">
        <v>332</v>
      </c>
      <c r="I43" s="460">
        <v>13</v>
      </c>
    </row>
    <row r="44" spans="1:9">
      <c r="F44" s="439">
        <v>29</v>
      </c>
      <c r="G44" s="443" t="s">
        <v>400</v>
      </c>
      <c r="H44" s="441">
        <v>5</v>
      </c>
      <c r="I44" s="442" t="s">
        <v>36</v>
      </c>
    </row>
    <row r="45" spans="1:9">
      <c r="F45" s="439">
        <v>30</v>
      </c>
      <c r="G45" s="443" t="s">
        <v>401</v>
      </c>
      <c r="H45" s="441">
        <v>8</v>
      </c>
      <c r="I45" s="442"/>
    </row>
    <row r="46" spans="1:9" ht="13.5" thickBot="1">
      <c r="F46" s="449"/>
      <c r="G46" s="450" t="s">
        <v>377</v>
      </c>
      <c r="H46" s="451"/>
      <c r="I46" s="452">
        <v>200</v>
      </c>
    </row>
    <row r="47" spans="1:9" ht="13">
      <c r="F47" s="453"/>
      <c r="G47" s="453"/>
      <c r="H47" s="454"/>
      <c r="I47" s="453"/>
    </row>
    <row r="48" spans="1:9">
      <c r="F48" s="455"/>
      <c r="G48" s="455"/>
      <c r="H48" s="456"/>
      <c r="I48" s="455"/>
    </row>
  </sheetData>
  <mergeCells count="8">
    <mergeCell ref="F1:I1"/>
    <mergeCell ref="A38:B38"/>
    <mergeCell ref="A1:D1"/>
    <mergeCell ref="A3:B3"/>
    <mergeCell ref="A13:B13"/>
    <mergeCell ref="A19:B19"/>
    <mergeCell ref="A25:B25"/>
    <mergeCell ref="A32:B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Permanent Supportive Housing</vt:lpstr>
      <vt:lpstr>PSH points tally</vt:lpstr>
      <vt:lpstr>Ranges</vt:lpstr>
      <vt:lpstr>2016 2017 Scores Cross Walk</vt:lpstr>
      <vt:lpstr>bedutil</vt:lpstr>
      <vt:lpstr>'Permanent Supportive Housing'!Print_Area</vt:lpstr>
      <vt:lpstr>'Permanent Supportive Housing'!Print_Titles</vt:lpstr>
      <vt:lpstr>tf</vt:lpstr>
      <vt:lpstr>yn</vt:lpstr>
    </vt:vector>
  </TitlesOfParts>
  <Manager/>
  <Company>Community Research Foundation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Christenson</dc:creator>
  <cp:keywords/>
  <dc:description/>
  <cp:lastModifiedBy>Holly</cp:lastModifiedBy>
  <cp:revision/>
  <dcterms:created xsi:type="dcterms:W3CDTF">2008-10-09T21:52:55Z</dcterms:created>
  <dcterms:modified xsi:type="dcterms:W3CDTF">2017-08-15T16:10:27Z</dcterms:modified>
  <cp:category/>
  <cp:contentStatus/>
</cp:coreProperties>
</file>