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09"/>
  <workbookPr autoCompressPictures="0" defaultThemeVersion="124226"/>
  <bookViews>
    <workbookView xWindow="0" yWindow="180" windowWidth="19440" windowHeight="7785" tabRatio="563" xr2:uid="{00000000-000D-0000-FFFF-FFFF00000000}"/>
  </bookViews>
  <sheets>
    <sheet name="Transitional Housing" sheetId="4" r:id="rId1"/>
    <sheet name="Points Tally TH renew" sheetId="5" r:id="rId2"/>
    <sheet name="Ranges" sheetId="6" r:id="rId3"/>
    <sheet name="TH Crosswalk 2017 vs. 2016" sheetId="7" r:id="rId4"/>
  </sheets>
  <definedNames>
    <definedName name="bedutil">Ranges!$D$1:$D$4</definedName>
    <definedName name="lmh">Ranges!$C$1:$C$4</definedName>
    <definedName name="_xlnm.Print_Area" localSheetId="0">'Transitional Housing'!$A$1:$H$261</definedName>
    <definedName name="_xlnm.Print_Titles" localSheetId="0">'Transitional Housing'!$1:$1</definedName>
    <definedName name="tf">Ranges!$A$1:$A$3</definedName>
    <definedName name="yn">Ranges!$B$1:$B$3</definedName>
  </definedNames>
  <calcPr calcId="171026"/>
</workbook>
</file>

<file path=xl/calcChain.xml><?xml version="1.0" encoding="utf-8"?>
<calcChain xmlns="http://schemas.openxmlformats.org/spreadsheetml/2006/main">
  <c r="C160" i="4" l="1"/>
  <c r="B123" i="4"/>
  <c r="B124" i="4"/>
  <c r="C29" i="4"/>
  <c r="C30" i="4"/>
  <c r="C32" i="4"/>
  <c r="F24" i="4"/>
  <c r="D25" i="4"/>
  <c r="J27" i="4"/>
  <c r="F25" i="4"/>
  <c r="D26" i="4"/>
  <c r="F26" i="4"/>
  <c r="D27" i="4"/>
  <c r="F27" i="4"/>
  <c r="D28" i="4"/>
  <c r="F28" i="4"/>
  <c r="G28" i="4"/>
  <c r="A123" i="4"/>
  <c r="B119" i="4"/>
  <c r="B118" i="4"/>
  <c r="B117" i="4"/>
  <c r="B116" i="4"/>
  <c r="B114" i="4"/>
  <c r="B113" i="4"/>
  <c r="B112" i="4"/>
  <c r="B111" i="4"/>
  <c r="B105" i="4"/>
  <c r="B104" i="4"/>
  <c r="B103" i="4"/>
  <c r="B102" i="4"/>
  <c r="C74" i="4"/>
  <c r="C65" i="4"/>
  <c r="C66" i="4"/>
  <c r="C204" i="4"/>
  <c r="D127" i="4"/>
  <c r="C59" i="4"/>
  <c r="D19" i="4"/>
  <c r="D18" i="4"/>
  <c r="C72" i="4"/>
  <c r="D16" i="4"/>
  <c r="D14" i="4"/>
  <c r="C184" i="4"/>
  <c r="C168" i="4"/>
  <c r="J43" i="7"/>
  <c r="J37" i="7"/>
  <c r="J32" i="7"/>
  <c r="J25" i="7"/>
  <c r="J18" i="7"/>
  <c r="J13" i="7"/>
  <c r="J3" i="7"/>
  <c r="D38" i="7"/>
  <c r="D32" i="7"/>
  <c r="D26" i="7"/>
  <c r="D20" i="7"/>
  <c r="D14" i="7"/>
  <c r="D3" i="7"/>
  <c r="D21" i="5"/>
  <c r="D42" i="7"/>
  <c r="D15" i="5"/>
  <c r="D13" i="4"/>
  <c r="C177" i="4"/>
  <c r="D39" i="5"/>
  <c r="H220" i="4"/>
  <c r="H188" i="4"/>
  <c r="H153" i="4"/>
  <c r="H96" i="4"/>
  <c r="H21" i="4"/>
  <c r="C37" i="4"/>
  <c r="C36" i="4"/>
  <c r="D94" i="4"/>
  <c r="D108" i="4"/>
  <c r="D125" i="4"/>
  <c r="E102" i="4"/>
  <c r="E111" i="4"/>
  <c r="B127" i="4"/>
  <c r="A127" i="4"/>
  <c r="B125" i="4"/>
  <c r="A125" i="4"/>
  <c r="A124" i="4"/>
  <c r="B121" i="4"/>
  <c r="A121" i="4"/>
  <c r="D120" i="4"/>
  <c r="D121" i="4"/>
  <c r="B120" i="4"/>
  <c r="A116" i="4"/>
  <c r="D115" i="4"/>
  <c r="B115" i="4"/>
  <c r="A111" i="4"/>
  <c r="A110" i="4"/>
  <c r="B108" i="4"/>
  <c r="A108" i="4"/>
  <c r="B107" i="4"/>
  <c r="A107" i="4"/>
  <c r="D106" i="4"/>
  <c r="B106" i="4"/>
  <c r="A102" i="4"/>
  <c r="A101" i="4"/>
  <c r="H9" i="4"/>
  <c r="H102" i="4"/>
  <c r="H111" i="4"/>
  <c r="D281" i="4"/>
  <c r="D279" i="4"/>
  <c r="D277" i="4"/>
  <c r="D98" i="4"/>
  <c r="C258" i="4"/>
  <c r="D33" i="5"/>
  <c r="D27" i="5"/>
  <c r="C272" i="4"/>
  <c r="C247" i="4"/>
  <c r="D85" i="4"/>
  <c r="C216" i="4"/>
  <c r="C214" i="4"/>
  <c r="C206" i="4"/>
  <c r="C198" i="4"/>
  <c r="C193" i="4"/>
  <c r="D190" i="4"/>
  <c r="C183" i="4"/>
  <c r="C176" i="4"/>
  <c r="C167" i="4"/>
  <c r="C159" i="4"/>
  <c r="C161" i="4"/>
  <c r="C150" i="4"/>
  <c r="C148" i="4"/>
  <c r="C143" i="4"/>
  <c r="G139" i="4"/>
  <c r="C141" i="4"/>
  <c r="C135" i="4"/>
  <c r="G131" i="4"/>
  <c r="C133" i="4"/>
  <c r="C139" i="4"/>
  <c r="C81" i="4"/>
  <c r="G82" i="4"/>
  <c r="C58" i="4"/>
  <c r="G48" i="4"/>
  <c r="G45" i="4"/>
  <c r="G24" i="4"/>
  <c r="D30" i="4"/>
  <c r="J161" i="4"/>
  <c r="F142" i="4"/>
  <c r="K141" i="4"/>
  <c r="K142" i="4"/>
  <c r="F141" i="4"/>
  <c r="D141" i="4"/>
  <c r="F140" i="4"/>
  <c r="D140" i="4"/>
  <c r="D139" i="4"/>
  <c r="G25" i="4"/>
  <c r="G161" i="4"/>
  <c r="C131" i="4"/>
  <c r="G141" i="4"/>
  <c r="F48" i="4"/>
  <c r="J51" i="4"/>
  <c r="C246" i="4"/>
  <c r="F72" i="4"/>
  <c r="D73" i="4"/>
  <c r="G218" i="4"/>
  <c r="J215" i="4"/>
  <c r="F212" i="4"/>
  <c r="G196" i="4"/>
  <c r="G79" i="4"/>
  <c r="C60" i="4"/>
  <c r="D246" i="4"/>
  <c r="D251" i="4"/>
  <c r="G261" i="4"/>
  <c r="D257" i="4"/>
  <c r="J257" i="4"/>
  <c r="J258" i="4"/>
  <c r="D265" i="4"/>
  <c r="D266" i="4"/>
  <c r="G270" i="4"/>
  <c r="D271" i="4"/>
  <c r="F271" i="4"/>
  <c r="D272" i="4"/>
  <c r="F272" i="4"/>
  <c r="D273" i="4"/>
  <c r="J273" i="4"/>
  <c r="J274" i="4"/>
  <c r="H271" i="4"/>
  <c r="H272" i="4"/>
  <c r="H273" i="4"/>
  <c r="H274" i="4"/>
  <c r="H275" i="4"/>
  <c r="D197" i="4"/>
  <c r="J197" i="4"/>
  <c r="J198" i="4"/>
  <c r="J199" i="4"/>
  <c r="H197" i="4"/>
  <c r="H198" i="4"/>
  <c r="H199" i="4"/>
  <c r="H200" i="4"/>
  <c r="H201" i="4"/>
  <c r="J205" i="4"/>
  <c r="F204" i="4"/>
  <c r="D205" i="4"/>
  <c r="J216" i="4"/>
  <c r="J217" i="4"/>
  <c r="H217" i="4"/>
  <c r="H216" i="4"/>
  <c r="H215" i="4"/>
  <c r="H213" i="4"/>
  <c r="H212" i="4"/>
  <c r="F164" i="4"/>
  <c r="D165" i="4"/>
  <c r="J166" i="4"/>
  <c r="C178" i="4"/>
  <c r="G176" i="4"/>
  <c r="F172" i="4"/>
  <c r="D173" i="4"/>
  <c r="J182" i="4"/>
  <c r="F181" i="4"/>
  <c r="D182" i="4"/>
  <c r="D131" i="4"/>
  <c r="F132" i="4"/>
  <c r="D132" i="4"/>
  <c r="D133" i="4"/>
  <c r="F133" i="4"/>
  <c r="F134" i="4"/>
  <c r="C151" i="4"/>
  <c r="H148" i="4"/>
  <c r="D145" i="4"/>
  <c r="J42" i="4"/>
  <c r="F40" i="4"/>
  <c r="J44" i="4"/>
  <c r="J45" i="4"/>
  <c r="H41" i="4"/>
  <c r="H42" i="4"/>
  <c r="H43" i="4"/>
  <c r="H44" i="4"/>
  <c r="H45" i="4"/>
  <c r="J53" i="4"/>
  <c r="H49" i="4"/>
  <c r="H50" i="4"/>
  <c r="H51" i="4"/>
  <c r="H52" i="4"/>
  <c r="H53" i="4"/>
  <c r="J58" i="4"/>
  <c r="F56" i="4"/>
  <c r="J65" i="4"/>
  <c r="J66" i="4"/>
  <c r="F64" i="4"/>
  <c r="D80" i="4"/>
  <c r="F80" i="4"/>
  <c r="D81" i="4"/>
  <c r="J207" i="4"/>
  <c r="J208" i="4"/>
  <c r="H205" i="4"/>
  <c r="H206" i="4"/>
  <c r="H207" i="4"/>
  <c r="H208" i="4"/>
  <c r="H209" i="4"/>
  <c r="K133" i="4"/>
  <c r="K134" i="4"/>
  <c r="H157" i="4"/>
  <c r="H158" i="4"/>
  <c r="H159" i="4"/>
  <c r="H160" i="4"/>
  <c r="H161" i="4"/>
  <c r="J167" i="4"/>
  <c r="J168" i="4"/>
  <c r="H165" i="4"/>
  <c r="H166" i="4"/>
  <c r="H167" i="4"/>
  <c r="H168" i="4"/>
  <c r="H173" i="4"/>
  <c r="H174" i="4"/>
  <c r="H175" i="4"/>
  <c r="H176" i="4"/>
  <c r="J259" i="4"/>
  <c r="J260" i="4"/>
  <c r="H257" i="4"/>
  <c r="H258" i="4"/>
  <c r="H259" i="4"/>
  <c r="H260" i="4"/>
  <c r="H261" i="4"/>
  <c r="J82" i="4"/>
  <c r="J83" i="4"/>
  <c r="H80" i="4"/>
  <c r="H81" i="4"/>
  <c r="H82" i="4"/>
  <c r="J75" i="4"/>
  <c r="J76" i="4"/>
  <c r="J67" i="4"/>
  <c r="J68" i="4"/>
  <c r="J60" i="4"/>
  <c r="J61" i="4"/>
  <c r="D4" i="5"/>
  <c r="J271" i="4"/>
  <c r="J272" i="4"/>
  <c r="J160" i="4"/>
  <c r="D252" i="4"/>
  <c r="J184" i="4"/>
  <c r="J185" i="4"/>
  <c r="H182" i="4"/>
  <c r="H183" i="4"/>
  <c r="H184" i="4"/>
  <c r="H185" i="4"/>
  <c r="H186" i="4"/>
  <c r="J52" i="4"/>
  <c r="J29" i="4"/>
  <c r="H25" i="4"/>
  <c r="H26" i="4"/>
  <c r="H27" i="4"/>
  <c r="H28" i="4"/>
  <c r="H29" i="4"/>
  <c r="J28" i="4"/>
  <c r="D34" i="4"/>
  <c r="D36" i="4"/>
  <c r="C248" i="4"/>
  <c r="G251" i="4"/>
  <c r="D43" i="5"/>
  <c r="C185" i="4"/>
  <c r="G186" i="4"/>
  <c r="G56" i="4"/>
  <c r="C169" i="4"/>
  <c r="G168" i="4"/>
  <c r="G64" i="4"/>
  <c r="G256" i="4"/>
  <c r="G140" i="4"/>
  <c r="G80" i="4"/>
  <c r="F257" i="4"/>
  <c r="D258" i="4"/>
  <c r="F258" i="4"/>
  <c r="D259" i="4"/>
  <c r="J43" i="4"/>
  <c r="G275" i="4"/>
  <c r="F156" i="4"/>
  <c r="G142" i="4"/>
  <c r="D263" i="4"/>
  <c r="F197" i="4"/>
  <c r="D198" i="4"/>
  <c r="F198" i="4"/>
  <c r="D199" i="4"/>
  <c r="D29" i="4"/>
  <c r="G29" i="4"/>
  <c r="H132" i="4"/>
  <c r="H133" i="4"/>
  <c r="H134" i="4"/>
  <c r="H140" i="4"/>
  <c r="H141" i="4"/>
  <c r="H142" i="4"/>
  <c r="G197" i="4"/>
  <c r="D57" i="4"/>
  <c r="H65" i="4"/>
  <c r="H66" i="4"/>
  <c r="H67" i="4"/>
  <c r="H68" i="4"/>
  <c r="H69" i="4"/>
  <c r="J59" i="4"/>
  <c r="J183" i="4"/>
  <c r="F182" i="4"/>
  <c r="G272" i="4"/>
  <c r="G72" i="4"/>
  <c r="G132" i="4"/>
  <c r="F73" i="4"/>
  <c r="D74" i="4"/>
  <c r="D65" i="4"/>
  <c r="F165" i="4"/>
  <c r="D166" i="4"/>
  <c r="G134" i="4"/>
  <c r="G133" i="4"/>
  <c r="F81" i="4"/>
  <c r="D82" i="4"/>
  <c r="F273" i="4"/>
  <c r="D274" i="4"/>
  <c r="D213" i="4"/>
  <c r="G212" i="4"/>
  <c r="G40" i="4"/>
  <c r="D41" i="4"/>
  <c r="G204" i="4"/>
  <c r="D49" i="4"/>
  <c r="H57" i="4"/>
  <c r="H58" i="4"/>
  <c r="H59" i="4"/>
  <c r="H60" i="4"/>
  <c r="H61" i="4"/>
  <c r="F173" i="4"/>
  <c r="D174" i="4"/>
  <c r="G271" i="4"/>
  <c r="J206" i="4"/>
  <c r="F205" i="4"/>
  <c r="D206" i="4"/>
  <c r="G181" i="4"/>
  <c r="D137" i="4"/>
  <c r="G164" i="4"/>
  <c r="G69" i="4"/>
  <c r="G61" i="4"/>
  <c r="D129" i="4"/>
  <c r="D96" i="4"/>
  <c r="G257" i="4"/>
  <c r="G172" i="4"/>
  <c r="D157" i="4"/>
  <c r="G156" i="4"/>
  <c r="G252" i="4"/>
  <c r="G250" i="4"/>
  <c r="F57" i="4"/>
  <c r="D58" i="4"/>
  <c r="F58" i="4"/>
  <c r="D59" i="4"/>
  <c r="D183" i="4"/>
  <c r="F183" i="4"/>
  <c r="D184" i="4"/>
  <c r="G182" i="4"/>
  <c r="G273" i="4"/>
  <c r="G173" i="4"/>
  <c r="G198" i="4"/>
  <c r="G73" i="4"/>
  <c r="F166" i="4"/>
  <c r="D167" i="4"/>
  <c r="F65" i="4"/>
  <c r="D66" i="4"/>
  <c r="F49" i="4"/>
  <c r="D50" i="4"/>
  <c r="F274" i="4"/>
  <c r="D275" i="4"/>
  <c r="F199" i="4"/>
  <c r="D200" i="4"/>
  <c r="F259" i="4"/>
  <c r="D260" i="4"/>
  <c r="G205" i="4"/>
  <c r="F174" i="4"/>
  <c r="D175" i="4"/>
  <c r="F213" i="4"/>
  <c r="D215" i="4"/>
  <c r="G81" i="4"/>
  <c r="D78" i="4"/>
  <c r="G258" i="4"/>
  <c r="F74" i="4"/>
  <c r="D75" i="4"/>
  <c r="F206" i="4"/>
  <c r="D207" i="4"/>
  <c r="F41" i="4"/>
  <c r="D42" i="4"/>
  <c r="G165" i="4"/>
  <c r="G27" i="4"/>
  <c r="G26" i="4"/>
  <c r="D222" i="4"/>
  <c r="F175" i="4"/>
  <c r="D176" i="4"/>
  <c r="G57" i="4"/>
  <c r="F157" i="4"/>
  <c r="D158" i="4"/>
  <c r="G174" i="4"/>
  <c r="G206" i="4"/>
  <c r="G274" i="4"/>
  <c r="D268" i="4"/>
  <c r="G74" i="4"/>
  <c r="D23" i="4"/>
  <c r="F215" i="4"/>
  <c r="D216" i="4"/>
  <c r="F260" i="4"/>
  <c r="D261" i="4"/>
  <c r="F66" i="4"/>
  <c r="D67" i="4"/>
  <c r="F42" i="4"/>
  <c r="D43" i="4"/>
  <c r="F75" i="4"/>
  <c r="D76" i="4"/>
  <c r="G76" i="4"/>
  <c r="F200" i="4"/>
  <c r="D201" i="4"/>
  <c r="F50" i="4"/>
  <c r="D51" i="4"/>
  <c r="F167" i="4"/>
  <c r="D168" i="4"/>
  <c r="G41" i="4"/>
  <c r="G183" i="4"/>
  <c r="G199" i="4"/>
  <c r="G49" i="4"/>
  <c r="G166" i="4"/>
  <c r="F59" i="4"/>
  <c r="D60" i="4"/>
  <c r="G58" i="4"/>
  <c r="F207" i="4"/>
  <c r="D208" i="4"/>
  <c r="F184" i="4"/>
  <c r="D185" i="4"/>
  <c r="G213" i="4"/>
  <c r="G259" i="4"/>
  <c r="G65" i="4"/>
  <c r="G175" i="4"/>
  <c r="G157" i="4"/>
  <c r="G184" i="4"/>
  <c r="G167" i="4"/>
  <c r="D163" i="4"/>
  <c r="F158" i="4"/>
  <c r="D159" i="4"/>
  <c r="G215" i="4"/>
  <c r="G207" i="4"/>
  <c r="G200" i="4"/>
  <c r="G260" i="4"/>
  <c r="D254" i="4"/>
  <c r="D220" i="4"/>
  <c r="G66" i="4"/>
  <c r="G42" i="4"/>
  <c r="G75" i="4"/>
  <c r="D71" i="4"/>
  <c r="F51" i="4"/>
  <c r="D52" i="4"/>
  <c r="F185" i="4"/>
  <c r="D186" i="4"/>
  <c r="F186" i="4"/>
  <c r="G59" i="4"/>
  <c r="F201" i="4"/>
  <c r="G201" i="4"/>
  <c r="F67" i="4"/>
  <c r="D68" i="4"/>
  <c r="F216" i="4"/>
  <c r="D217" i="4"/>
  <c r="F208" i="4"/>
  <c r="D209" i="4"/>
  <c r="G209" i="4"/>
  <c r="F60" i="4"/>
  <c r="D61" i="4"/>
  <c r="G50" i="4"/>
  <c r="F43" i="4"/>
  <c r="D44" i="4"/>
  <c r="D195" i="4"/>
  <c r="G158" i="4"/>
  <c r="F159" i="4"/>
  <c r="D160" i="4"/>
  <c r="G216" i="4"/>
  <c r="G185" i="4"/>
  <c r="D180" i="4"/>
  <c r="F52" i="4"/>
  <c r="D53" i="4"/>
  <c r="G53" i="4"/>
  <c r="G51" i="4"/>
  <c r="G52" i="4"/>
  <c r="D47" i="4"/>
  <c r="G43" i="4"/>
  <c r="G60" i="4"/>
  <c r="D55" i="4"/>
  <c r="F217" i="4"/>
  <c r="D218" i="4"/>
  <c r="F68" i="4"/>
  <c r="D69" i="4"/>
  <c r="F44" i="4"/>
  <c r="D45" i="4"/>
  <c r="G208" i="4"/>
  <c r="D203" i="4"/>
  <c r="G67" i="4"/>
  <c r="D171" i="4"/>
  <c r="G159" i="4"/>
  <c r="F160" i="4"/>
  <c r="D161" i="4"/>
  <c r="G44" i="4"/>
  <c r="D39" i="4"/>
  <c r="G68" i="4"/>
  <c r="D63" i="4"/>
  <c r="G217" i="4"/>
  <c r="D211" i="4"/>
  <c r="D188" i="4"/>
  <c r="D21" i="4"/>
  <c r="G160" i="4"/>
  <c r="D155" i="4"/>
  <c r="D153" i="4"/>
  <c r="D9" i="4"/>
</calcChain>
</file>

<file path=xl/sharedStrings.xml><?xml version="1.0" encoding="utf-8"?>
<sst xmlns="http://schemas.openxmlformats.org/spreadsheetml/2006/main" count="978" uniqueCount="474">
  <si>
    <t>2017  RTFH Scoring Tool - Transitional Housing RENEWAL</t>
  </si>
  <si>
    <r>
      <rPr>
        <b/>
        <sz val="14"/>
        <color theme="0"/>
        <rFont val="Arial"/>
        <family val="2"/>
      </rPr>
      <t xml:space="preserve">NOTICE: Use HMIS (Homeless Management Information System) Data </t>
    </r>
    <r>
      <rPr>
        <b/>
        <sz val="14"/>
        <color rgb="FFFFFF00"/>
        <rFont val="Arial"/>
        <family val="2"/>
      </rPr>
      <t xml:space="preserve">from </t>
    </r>
    <r>
      <rPr>
        <b/>
        <sz val="14"/>
        <color theme="1"/>
        <rFont val="Arial"/>
        <family val="2"/>
      </rPr>
      <t>Oct. 1, 2015 - Sept 30, 2016</t>
    </r>
  </si>
  <si>
    <t xml:space="preserve"> </t>
  </si>
  <si>
    <t>Recommendations</t>
  </si>
  <si>
    <r>
      <rPr>
        <sz val="10"/>
        <rFont val="Arial"/>
        <family val="2"/>
      </rPr>
      <t xml:space="preserve">Green cells are input cells for project specific information. Other cells are self-populating, pulled from other information entered within 
the workbook, and/or there to provide context, instructions, or other information to ensure transparency regarding how the scoring tool works.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>Note: APR / 0625 cell references do not include header rows or title columns.</t>
    </r>
  </si>
  <si>
    <t>Last Updated: August 11, 2017</t>
  </si>
  <si>
    <t>AGENCY:</t>
  </si>
  <si>
    <t>Grantee Name from GIW</t>
  </si>
  <si>
    <t>Total Number of Clients Served (APR Q 7. row 1 All Clients):</t>
  </si>
  <si>
    <t>PROJECT NAME:</t>
  </si>
  <si>
    <t>From GIW</t>
  </si>
  <si>
    <t>Total Number of Adults (APR Q.7 row 2 Adults Only):</t>
  </si>
  <si>
    <t>RENEWAL GRANT #:</t>
  </si>
  <si>
    <t>From GIW (not from APR)</t>
  </si>
  <si>
    <t>Total Number of Leavers (APR Q.7 row 4 Leavers):</t>
  </si>
  <si>
    <t>PROJECT GRAND POINT TOTAL</t>
  </si>
  <si>
    <t>Points Earned:</t>
  </si>
  <si>
    <t>Potential:</t>
  </si>
  <si>
    <t>CES PARTICIPATION</t>
  </si>
  <si>
    <t>Threshold Criteria</t>
  </si>
  <si>
    <t>Eligibility Item</t>
  </si>
  <si>
    <t>No Potential Points</t>
  </si>
  <si>
    <t>CES Project Category</t>
  </si>
  <si>
    <t>Does this project only serve DV households (100%)?</t>
  </si>
  <si>
    <t>Select yes or no</t>
  </si>
  <si>
    <t>SELECT YES OR NO</t>
  </si>
  <si>
    <t xml:space="preserve">Is this a Transitional Housing project? </t>
  </si>
  <si>
    <t xml:space="preserve">Select yes or no </t>
  </si>
  <si>
    <t xml:space="preserve">Commitment to CES </t>
  </si>
  <si>
    <t>Have one or more agency staff completed CES training?</t>
  </si>
  <si>
    <t>RTFH records</t>
  </si>
  <si>
    <t>Agency  Participation in CES Database</t>
  </si>
  <si>
    <t>Have 100% of CoC units been entered into CES?</t>
  </si>
  <si>
    <t>CES Coordinator / HMIS Record</t>
  </si>
  <si>
    <t>Will 100% of CoC vacated units be filled by CES?</t>
  </si>
  <si>
    <t>Agency Commitment form in Dropbox</t>
  </si>
  <si>
    <t>Section I: PROJECT PERFORMANCE &amp; OUTCOMES</t>
  </si>
  <si>
    <t>Section Points Earned:</t>
  </si>
  <si>
    <t>Update the formulas</t>
  </si>
  <si>
    <t>Input</t>
  </si>
  <si>
    <t>Source</t>
  </si>
  <si>
    <t>Raw Data</t>
  </si>
  <si>
    <r>
      <t>Measurement Intervals:</t>
    </r>
    <r>
      <rPr>
        <b/>
        <sz val="10"/>
        <color rgb="FFFF000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Include lower value does not include upper value in range</t>
    </r>
  </si>
  <si>
    <t>Points
Earned</t>
  </si>
  <si>
    <t>Corresponding
Points</t>
  </si>
  <si>
    <t>Methodology</t>
  </si>
  <si>
    <r>
      <t xml:space="preserve">#1a - Housing Stability Measure - Leavers only 
</t>
    </r>
    <r>
      <rPr>
        <b/>
        <sz val="8"/>
        <color theme="4" tint="-0.499984740745262"/>
        <rFont val="Arial"/>
        <family val="2"/>
      </rPr>
      <t xml:space="preserve">(Percent of Persons who exited to Permanent Housing or other specific destinations) 
Data Sources: APR Q.36B, APR Q.29a1 &gt; 90 days + Q.29a2 &lt; 90 days First column "Total", Permanent Destinations + Institutions + Deceased </t>
    </r>
  </si>
  <si>
    <t>Earned:</t>
  </si>
  <si>
    <t>Consider splitting into two measures. Add one based on year over year improvement</t>
  </si>
  <si>
    <t>Total # Clients for whom measure is appropriate</t>
  </si>
  <si>
    <t>APR Q36b, row 1, col 3</t>
  </si>
  <si>
    <t xml:space="preserve">  up to </t>
  </si>
  <si>
    <t>Leavers to Institutional Settings - Leavers who Stayed &gt; 90 Days</t>
  </si>
  <si>
    <t>APR Q29a1, Chart 3, Subtotal, Col 1</t>
  </si>
  <si>
    <t xml:space="preserve"> -</t>
  </si>
  <si>
    <t>Leavers to Institutional Settings - Leavers who Stayed &lt; 90 Days</t>
  </si>
  <si>
    <t>APR Q29a2, Chart 3, Subtotal, Col 1</t>
  </si>
  <si>
    <t>-</t>
  </si>
  <si>
    <t>Our CoC's average performance from 2013</t>
  </si>
  <si>
    <t>Deceased - Deceased - Leavers who Stayed &gt; 90 Days</t>
  </si>
  <si>
    <t>APR Q29a1 Chart 4: Other Destinations, Deceased, Row 1, column 1</t>
  </si>
  <si>
    <t>Five equal Intervals betweenaverage perf threshold to 100% possible</t>
  </si>
  <si>
    <t>Deceased - Deceased - Leavers who Stayed &lt; 90 Days</t>
  </si>
  <si>
    <t>APR Q29a2 Chart 4: Other Destinations, Deceased, Row 1, column 1</t>
  </si>
  <si>
    <t>Maximum Points</t>
  </si>
  <si>
    <t>Total Leavers to Institutional Settings + Deceased</t>
  </si>
  <si>
    <t>or over</t>
  </si>
  <si>
    <t>Number of points awarded per interval</t>
  </si>
  <si>
    <t># for Whom Measure is Approp - Other Neutral Exits</t>
  </si>
  <si>
    <t xml:space="preserve">Total Persons who Accomplished Measure </t>
  </si>
  <si>
    <t>APR Q36b, row1, col 4</t>
  </si>
  <si>
    <t>Percent Leavers Who Went to Permanent Housing, Institutions or Deceased</t>
  </si>
  <si>
    <t>Add isblank</t>
  </si>
  <si>
    <r>
      <t xml:space="preserve">#1b - Housing Stability Improvement Measure - Leavers only 
</t>
    </r>
    <r>
      <rPr>
        <b/>
        <sz val="8"/>
        <color theme="4" tint="-0.499984740745262"/>
        <rFont val="Arial"/>
        <family val="2"/>
      </rPr>
      <t>(Change in Percentage of persons who accomplished this measure) 
Data Sources: Prior year TH scoring tool, section 1, row 22,  % Total Persons Who Accomplished Measure</t>
    </r>
  </si>
  <si>
    <t>Percent Leavers who accomplished measure, 2016</t>
  </si>
  <si>
    <r>
      <t>2016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TH Scoring Tool, Section 1, Row 22, column 3</t>
    </r>
  </si>
  <si>
    <t>If C32&gt; C35 by 10% or more (YR 2017 vs 2016)</t>
  </si>
  <si>
    <t>Calculation (5pts)</t>
  </si>
  <si>
    <t>Or if 2016 &amp; 2017: At or above 90%</t>
  </si>
  <si>
    <t>#2 - Total Income Measure - Persons who increased their income from any source</t>
  </si>
  <si>
    <t>Total Actual Percent Persons Who Increased Total Income</t>
  </si>
  <si>
    <t>APR Q36b row 2a, column 5</t>
  </si>
  <si>
    <t>Performance Threshold, % clients who have any kind of income.</t>
  </si>
  <si>
    <t>Half of Performance Threshold</t>
  </si>
  <si>
    <t>Five equal Intervals between half of perf threshold to 100% possible</t>
  </si>
  <si>
    <t>+</t>
  </si>
  <si>
    <t>#3 - Earned Income Measure - Adults (18 - 61) that increased their earned income</t>
  </si>
  <si>
    <t>Total Actual % Persons who increased Earned Income</t>
  </si>
  <si>
    <t>APR Q36b row  2b, column 5</t>
  </si>
  <si>
    <t xml:space="preserve"> up to </t>
  </si>
  <si>
    <t xml:space="preserve">  or </t>
  </si>
  <si>
    <t>above</t>
  </si>
  <si>
    <t>#4 - Non-cash Benefits, Leavers and stayers</t>
  </si>
  <si>
    <t>Total persons : leavers 1+ source(s)</t>
  </si>
  <si>
    <t>Q26a2, row 2, col 1</t>
  </si>
  <si>
    <t>Isblank or count formulas</t>
  </si>
  <si>
    <t>Total persons: stayers 1+ source(s)</t>
  </si>
  <si>
    <t>Q26b2, row 2, col 1</t>
  </si>
  <si>
    <t>Performance Threshold, % clients who have earned income</t>
  </si>
  <si>
    <t>Total persons with Non-Cash Benefits</t>
  </si>
  <si>
    <t>Calculation</t>
  </si>
  <si>
    <t>Total person</t>
  </si>
  <si>
    <t>Q7 (see H5 above)</t>
  </si>
  <si>
    <t>Percent Persons with Non-Cash Benefits</t>
  </si>
  <si>
    <t xml:space="preserve"> or</t>
  </si>
  <si>
    <t>#5 - Mainstream Resources</t>
  </si>
  <si>
    <t>Total persons with mainstream resource(s)</t>
  </si>
  <si>
    <t>Q26a1, Total col 1</t>
  </si>
  <si>
    <t xml:space="preserve"> up to</t>
  </si>
  <si>
    <t>This is only Housing Resrouces - CAHP System should guide whether people get subsidies       Remove and distribute points to 3 and 4</t>
  </si>
  <si>
    <t>Total persons served</t>
  </si>
  <si>
    <t>Cell H5 Above (APR Q.7 )</t>
  </si>
  <si>
    <t>Percentage with Mainstream Resources</t>
  </si>
  <si>
    <t xml:space="preserve">#6 Rapid Response Length of Stay - </t>
  </si>
  <si>
    <t>Look at current averages for baseline and set improvement targets to receive points. Can do by agency like #7 or system-wide.</t>
  </si>
  <si>
    <t>System Average Length of Stay for Housing Type (in days) prior to exit to PH</t>
  </si>
  <si>
    <t>RTFH Average Los In Days Report - TH</t>
  </si>
  <si>
    <t>Project Average Length of Stay (in days) prior to exit</t>
  </si>
  <si>
    <t xml:space="preserve">APR Q 27 chart 2, row 1, column 1  (Average LoS Leavers) </t>
  </si>
  <si>
    <t xml:space="preserve">Minimum percent required for points </t>
  </si>
  <si>
    <t>Project Comparison to System Average</t>
  </si>
  <si>
    <t>Three equal Intervals between minimum and 100%</t>
  </si>
  <si>
    <t xml:space="preserve">  or</t>
  </si>
  <si>
    <t>#7 Reduction in Average Length of Stay (2016 vs. 2015) TH, SH</t>
  </si>
  <si>
    <t>Average Length of 2014- 2015 APR</t>
  </si>
  <si>
    <t>2016 Scoring APR Q 27 LoS STAYERS - Average chart</t>
  </si>
  <si>
    <t>or</t>
  </si>
  <si>
    <t>below</t>
  </si>
  <si>
    <t>LOS Same or longer</t>
  </si>
  <si>
    <t>Average Length of 2015-2016 APR</t>
  </si>
  <si>
    <t>2017 Scoring APR Q 27 LoS STAYERS - Average chart</t>
  </si>
  <si>
    <t>Some measureable progress</t>
  </si>
  <si>
    <t>Percentage reduction</t>
  </si>
  <si>
    <t>Half performance goal</t>
  </si>
  <si>
    <t xml:space="preserve"> or </t>
  </si>
  <si>
    <t>Maximum Points (HUD goal 10% or more)</t>
  </si>
  <si>
    <t>Number of points per interval</t>
  </si>
  <si>
    <t>#8 Housing First &amp; Low Barrier Principles</t>
  </si>
  <si>
    <t>Should be threshold for applicable projects. Otherwise projects are penalized for operating within approved standards. Move points to 6 and 7.</t>
  </si>
  <si>
    <t>Select from drop-down list</t>
  </si>
  <si>
    <t>Must meet all criteria for points</t>
  </si>
  <si>
    <t>Program does not require sobriety at entry</t>
  </si>
  <si>
    <t>Housing First Chart  (Application 3B)</t>
  </si>
  <si>
    <t>SELECT TRUE OR FALSE</t>
  </si>
  <si>
    <t xml:space="preserve">Program does not require participation in support services </t>
  </si>
  <si>
    <t>Participants do not need to have income at entry</t>
  </si>
  <si>
    <t>Commit to Housing First Criteria in HUD Application (Exh. 2, HF question)</t>
  </si>
  <si>
    <t>Chart Application Exh. 2 - 3B  HUD Determination</t>
  </si>
  <si>
    <t>Does not screen out criminal record (with state and local exception)</t>
  </si>
  <si>
    <t>Does not screen out for history of domestic violence</t>
  </si>
  <si>
    <t>Project quickly moves participants to housing</t>
  </si>
  <si>
    <t>Number of Criteria Met</t>
  </si>
  <si>
    <t xml:space="preserve">Section II: RESOURCE UTILIZATION </t>
  </si>
  <si>
    <t>#9 Resource Utilization -  Bed Utilization</t>
  </si>
  <si>
    <t>85% Outcome Target</t>
  </si>
  <si>
    <t>What types of households does the project serve?</t>
  </si>
  <si>
    <t>Data source:  Apr question 8          Family = households</t>
  </si>
  <si>
    <t>Project is mixed - serving both households with and without children</t>
  </si>
  <si>
    <t>January:</t>
  </si>
  <si>
    <t>April:</t>
  </si>
  <si>
    <t>July:</t>
  </si>
  <si>
    <t>October:</t>
  </si>
  <si>
    <t>Average:</t>
  </si>
  <si>
    <t>NOTE: If HIC does not include beds for HH w/o children and the project served these HH, the average number of beds was added to D123.</t>
  </si>
  <si>
    <t>#10a Resource Utilization - Cost Comparison HUD Funds</t>
  </si>
  <si>
    <t>Cell 109 &gt; 110 % = 0 points</t>
  </si>
  <si>
    <t>Change in order to measure cost based on a successful exit against full budget as submitted in the application. Otherwise it incentivizes outputs and not outcomes.</t>
  </si>
  <si>
    <t>APR Q7a, row 1 (cell H5 above)</t>
  </si>
  <si>
    <t xml:space="preserve">Maximum percentage </t>
  </si>
  <si>
    <t xml:space="preserve">Only successful leavers APR Q29a.1 and Q29a.2 </t>
  </si>
  <si>
    <t>Total HUD Request</t>
  </si>
  <si>
    <t>From Budget Total HUD request (Column 1) (or Cost Comparison chart)</t>
  </si>
  <si>
    <t>Range increments</t>
  </si>
  <si>
    <t>Total budget in application. Otherwise highly leveraged projects have unfair advantage.</t>
  </si>
  <si>
    <t>Cost per Person</t>
  </si>
  <si>
    <t>Average Cost per person for Program Type</t>
  </si>
  <si>
    <t xml:space="preserve">Cost Comparion chart: Average cost calculation </t>
  </si>
  <si>
    <t># of points per interval</t>
  </si>
  <si>
    <t>Percentage Project Cost per person to Average for program type</t>
  </si>
  <si>
    <t>#10b Resource Utilization - Cost Comparison Total Budget</t>
  </si>
  <si>
    <t>Total Project Budget</t>
  </si>
  <si>
    <t>From Budget Total (Column 3) (or Cost Comparison Chart Col. AI)</t>
  </si>
  <si>
    <t xml:space="preserve"> - </t>
  </si>
  <si>
    <t>Average Cost for program  - Cost Comparison Chart</t>
  </si>
  <si>
    <r>
      <t>#11 Resource Utilization - Grant Spend Out</t>
    </r>
    <r>
      <rPr>
        <b/>
        <sz val="9"/>
        <color theme="4" tint="-0.499984740745262"/>
        <rFont val="Arial"/>
        <family val="2"/>
      </rPr>
      <t xml:space="preserve"> </t>
    </r>
  </si>
  <si>
    <t>Total Expenditure Year-To-Date to June 2017</t>
  </si>
  <si>
    <t>E-LOCCS (Line of Credit Control System) (dropbox)</t>
  </si>
  <si>
    <t xml:space="preserve">Total Grant </t>
  </si>
  <si>
    <t>Percent Spend out</t>
  </si>
  <si>
    <t>If grant spend out is at least 95%, 5 points are earned.</t>
  </si>
  <si>
    <t>Number of months eligible to be billed.</t>
  </si>
  <si>
    <t>Operating Year start to June 2017 (note if start date after April 1)</t>
  </si>
  <si>
    <t>Percentage of grant year completed</t>
  </si>
  <si>
    <t>Adjusted expected spend out percentage based on eligible months</t>
  </si>
  <si>
    <t>Section III: ACUITY &amp; SPECIAL NEEDS</t>
  </si>
  <si>
    <t># 12 Best Practice Housing Usage - Transitional Housing</t>
  </si>
  <si>
    <t>Do not think this needs to be a scored item. Determine use of TH and make it threshold to be a funded project.</t>
  </si>
  <si>
    <t>Number of Transition Age Youth (TAY) between the ages of 18 and 24.</t>
  </si>
  <si>
    <t>APR Q16, row 4, col 1</t>
  </si>
  <si>
    <t>Number of Victims fleeing Domestic Violence (DV) occurring within past 6 months</t>
  </si>
  <si>
    <t>APR Q19b, Sum (row 1 col 1 + row 2, col 1)</t>
  </si>
  <si>
    <t>Number of persons with substance use at entry</t>
  </si>
  <si>
    <t>Sum of APR Q18a  Sum (Row 2 col 1 + Row 3 col 1)</t>
  </si>
  <si>
    <t>Total Number targeted persons</t>
  </si>
  <si>
    <t>Total Number Adults served</t>
  </si>
  <si>
    <t>Cell H6 above</t>
  </si>
  <si>
    <t>Percent of clients in targeted population</t>
  </si>
  <si>
    <t># 13  High Need - General Disability HH</t>
  </si>
  <si>
    <t>Determine who we want TH to serve and make threshold</t>
  </si>
  <si>
    <t xml:space="preserve">Persons with one physical or mental health condition at entry </t>
  </si>
  <si>
    <t>APR Q18b, row 2, column 1</t>
  </si>
  <si>
    <t>Note: Clients may be duplicated.  Example HH could be vet and CH</t>
  </si>
  <si>
    <t xml:space="preserve">Persons with two physical and/or mental health conditions at entry </t>
  </si>
  <si>
    <t>APR Q18b,  row 3, column 1</t>
  </si>
  <si>
    <t>Performance Threshold, % clients who have general disability</t>
  </si>
  <si>
    <t>Persons with three or more physical and/or mental health conditions at entry</t>
  </si>
  <si>
    <t>APR Q18b, row 4, column 1</t>
  </si>
  <si>
    <t>Three equal Intervals between the perf threshold to 100% possible</t>
  </si>
  <si>
    <t>Total persons in targeted populations</t>
  </si>
  <si>
    <t xml:space="preserve">Total persons  </t>
  </si>
  <si>
    <t>Cell H5 above</t>
  </si>
  <si>
    <t>Total Percentage Persons in Targeted Populations</t>
  </si>
  <si>
    <t># 14 High Need Priority Populations Indicators</t>
  </si>
  <si>
    <t>Number of Persons with Prior Length of time homeless &gt; 6 months</t>
  </si>
  <si>
    <t>RTFH Custom Report</t>
  </si>
  <si>
    <t>Number of Persons with Mental Illness</t>
  </si>
  <si>
    <t>APR Q18a, row 1, col 1</t>
  </si>
  <si>
    <t>Performance Threshold, % clients in targeted populations</t>
  </si>
  <si>
    <t>Number of Persons with Substance Abuse</t>
  </si>
  <si>
    <t>Sum of APR Q18a Rows 2+3, column 1</t>
  </si>
  <si>
    <t>Four equal Intervals between the perf threshold to 100% possible</t>
  </si>
  <si>
    <t>Number of  persons with Veteran Status</t>
  </si>
  <si>
    <t>APR Q21, Row 1, column 1</t>
  </si>
  <si>
    <t>Total Persons with High Need Factors</t>
  </si>
  <si>
    <t xml:space="preserve"> Calculation</t>
  </si>
  <si>
    <t>Number of points awarded per interval (rounded)</t>
  </si>
  <si>
    <t>Total Persons Served</t>
  </si>
  <si>
    <t>Total percentage persons of targeted populations</t>
  </si>
  <si>
    <r>
      <t>#15 Residence Prior to Program Entry</t>
    </r>
    <r>
      <rPr>
        <b/>
        <sz val="9"/>
        <color theme="4" tint="-0.499984740745262"/>
        <rFont val="Arial"/>
        <family val="2"/>
      </rPr>
      <t/>
    </r>
  </si>
  <si>
    <t>Emergency shelter</t>
  </si>
  <si>
    <t>Total APR Q20a1 Row 1, Col 1</t>
  </si>
  <si>
    <t>Performance Threshold, % clients who were homeless</t>
  </si>
  <si>
    <t>Remove ES and incentivize 'place not meant for habitation'</t>
  </si>
  <si>
    <t>Place not meant for habitation</t>
  </si>
  <si>
    <t>Total APR Q20a1 Row 3, Col 1</t>
  </si>
  <si>
    <t>Persons entered from emergency shelter or place not meant for human habitation                                            Calculation</t>
  </si>
  <si>
    <t>Total persons</t>
  </si>
  <si>
    <t>Percentage entered from emergency shelter or place not meant for human habitation</t>
  </si>
  <si>
    <t xml:space="preserve">Calculation  </t>
  </si>
  <si>
    <t>Section IV: CoC SYSTEM IMPROVEMENT</t>
  </si>
  <si>
    <t># 16 Preservation of Units/Beds</t>
  </si>
  <si>
    <t>If yes award max points</t>
  </si>
  <si>
    <t>Units and Beds on 2017 HIC &gt;= 2016 HIC (2 points)</t>
  </si>
  <si>
    <t>Number Units or Beds on 2016 HIC</t>
  </si>
  <si>
    <t>Number Units or Beds on 2017 HIC</t>
  </si>
  <si>
    <t>Calculation: If Recent Year &gt;= Prev. Year, max points</t>
  </si>
  <si>
    <t>Caution:  C163 is an array:  if cell selected you must press Ctrl+Shift+Enter to activate the array.</t>
  </si>
  <si>
    <t># 17 Fills subregional gap / need (preserves or creates beds by Housing and HH type compared with total for that type in Subregion )</t>
  </si>
  <si>
    <t>Subregional Summary Chart (1-5 points)</t>
  </si>
  <si>
    <t xml:space="preserve">Compare </t>
  </si>
  <si>
    <t>Project unit / bed inventory  (Housing and HH type)</t>
  </si>
  <si>
    <t>2017 HIC Subregional Chart, named project row</t>
  </si>
  <si>
    <t>Below</t>
  </si>
  <si>
    <t>Performance Threshold, % subreginal need</t>
  </si>
  <si>
    <t>Subregion Total unit/ Bed inventory by Housing and HH type</t>
  </si>
  <si>
    <t>2017 HIC Subregional Chart, sum all Units / beds for Project &amp; HH Type</t>
  </si>
  <si>
    <t>Five equal Intervals between minimum and 40%</t>
  </si>
  <si>
    <t>Percentage of Subregion capacity</t>
  </si>
  <si>
    <t>calculation</t>
  </si>
  <si>
    <t>#18 Percentage of turnover vacancy filled by priority population</t>
  </si>
  <si>
    <t>TH Threshold</t>
  </si>
  <si>
    <t>Number of exits</t>
  </si>
  <si>
    <t>APR Q 7, row 4 (H7 above)</t>
  </si>
  <si>
    <t>Number of entries with (TH, RRI = veteran)</t>
  </si>
  <si>
    <t>RTFH Custom report</t>
  </si>
  <si>
    <t>Percentage Turnover in TH  or RRH Filled by Veterans (note: PSH= chronic)</t>
  </si>
  <si>
    <t> Note:  This measures if  the project is moving targeted persons off the street. Housing outcomes, and Housing Usage are measured in Q1 and Q.12   If C204="0" no persons could move off the streets into this project. See Explanations document. </t>
  </si>
  <si>
    <t>Above</t>
  </si>
  <si>
    <t>#19 Return to Homelessness Transitional Housing Exit</t>
  </si>
  <si>
    <t>Remove?</t>
  </si>
  <si>
    <t>Exit to place not meant for human habitation</t>
  </si>
  <si>
    <t>APR Q29a.1.  Chart 2: Temporary Destinations, Row 5, column 1</t>
  </si>
  <si>
    <t>Higher % = lower score</t>
  </si>
  <si>
    <t>Exits to Unknown location (info missing)</t>
  </si>
  <si>
    <t>APR Q29a.1. Chart 4: Other Destinations, Row 4, column 1</t>
  </si>
  <si>
    <t>threshold</t>
  </si>
  <si>
    <t>no points</t>
  </si>
  <si>
    <t>subtotal return homelessness</t>
  </si>
  <si>
    <t xml:space="preserve">Calculation </t>
  </si>
  <si>
    <t xml:space="preserve">Number of leavers with 90 day + stay </t>
  </si>
  <si>
    <t>APR Q29a1 Sum Subtotals all charts (c1)</t>
  </si>
  <si>
    <t>interval increase</t>
  </si>
  <si>
    <t>Percentage of return to homelessness</t>
  </si>
  <si>
    <t>Calculation (1-5 points)</t>
  </si>
  <si>
    <t>max points</t>
  </si>
  <si>
    <t>points per interval</t>
  </si>
  <si>
    <t>Section V: DATA QUALITY</t>
  </si>
  <si>
    <t xml:space="preserve">#20 Percent Null Values </t>
  </si>
  <si>
    <t>Enter values (not %) for both columns. 
From APR Q.7, second table</t>
  </si>
  <si>
    <t>Don't Know or Refused</t>
  </si>
  <si>
    <t># Missing Data</t>
  </si>
  <si>
    <t>First Name</t>
  </si>
  <si>
    <t>3 points = % Null</t>
  </si>
  <si>
    <t>Last Name</t>
  </si>
  <si>
    <t>2 points = % Don’t know / refused</t>
  </si>
  <si>
    <t>SSN</t>
  </si>
  <si>
    <t>If  Null &amp; DK combined, calculation below works; needs update if separated</t>
  </si>
  <si>
    <t>Date of Birth</t>
  </si>
  <si>
    <t>Race</t>
  </si>
  <si>
    <t>If potential points change must update</t>
  </si>
  <si>
    <t>Ethnicity</t>
  </si>
  <si>
    <t>point table in cells H241:H243</t>
  </si>
  <si>
    <t>Gender</t>
  </si>
  <si>
    <t>Veteran Status</t>
  </si>
  <si>
    <t>Disabling Condition</t>
  </si>
  <si>
    <t>Residence Prior to Entry</t>
  </si>
  <si>
    <t>Income (at entry)</t>
  </si>
  <si>
    <t>Income (at exit)</t>
  </si>
  <si>
    <t>Non-cash Benefits (at entry)</t>
  </si>
  <si>
    <t>Non-cash Benefits (at exit)</t>
  </si>
  <si>
    <t>Physical Disability (at entry)</t>
  </si>
  <si>
    <t>Developmental Disability (at entry)</t>
  </si>
  <si>
    <t>Chronic Health Condition (at entry)</t>
  </si>
  <si>
    <t>HIV/AIDS (at entry)</t>
  </si>
  <si>
    <t>Mental Health (at entry)</t>
  </si>
  <si>
    <t>Substance Abuse (at entry)</t>
  </si>
  <si>
    <t>Domestic Violence (at entry)</t>
  </si>
  <si>
    <t>Destination</t>
  </si>
  <si>
    <t>Total Null Data Points</t>
  </si>
  <si>
    <t>Total Number of Clients</t>
  </si>
  <si>
    <t>Percent Don't know or refused and # Missing Data</t>
  </si>
  <si>
    <t xml:space="preserve"> #21 Timeliness of Data Input</t>
  </si>
  <si>
    <t xml:space="preserve">Data Entry </t>
  </si>
  <si>
    <t xml:space="preserve">Number of clients whose data was entered in six days or less after entering the program </t>
  </si>
  <si>
    <t>Regional Taskforce on the Homeless - Timeliness Report  Unique Client Counts (1-3)  + (4-6) days</t>
  </si>
  <si>
    <t>Performance Threshold, 90% of records with timely entry</t>
  </si>
  <si>
    <t>Total number of clients entering during the report year</t>
  </si>
  <si>
    <t>Regional Taskforce on the Homeless - Timeliness Report  Total Unique Clients - final cell</t>
  </si>
  <si>
    <t>Percentage Clients with timely data entry</t>
  </si>
  <si>
    <t>This measures the timeliness of data entry. If there were no new clients (C257 = 0) then assign full points in cell D254:  Earned</t>
  </si>
  <si>
    <t>#22 HIC Accuracy and Timeliness</t>
  </si>
  <si>
    <t>Points Earned</t>
  </si>
  <si>
    <t>Was HIC information  submitted on time?</t>
  </si>
  <si>
    <t xml:space="preserve">RTFH Timeliness report </t>
  </si>
  <si>
    <t>Points earned are tied to current percentage breakdown of potential points.</t>
  </si>
  <si>
    <t>Was HIC information accurate or updated upon request?</t>
  </si>
  <si>
    <t>#23 HMIS Participation</t>
  </si>
  <si>
    <t>Would penalize low % more to incentivize all projects being in HMIS</t>
  </si>
  <si>
    <t>Total number of agency homeless dedicated beds in CoC</t>
  </si>
  <si>
    <t>2017 HIC, All agency  project rows Total Yr Round bed Column (see HMIS participation chart)</t>
  </si>
  <si>
    <t>Performance Threshold, 90% of agency dedicated beds</t>
  </si>
  <si>
    <t>Total Number of agency homeless dedicated beds in HMIS</t>
  </si>
  <si>
    <t>2017 HIC, Agency project rows, total HMIS YR Round beds Column (HMISParticipation Chart)</t>
  </si>
  <si>
    <t>Percentage of Homeless dedicated beds in HMIS</t>
  </si>
  <si>
    <t>Section VI: BONUS POINTS</t>
  </si>
  <si>
    <t xml:space="preserve">#24 Is agency voluntarily reallocating this project?  </t>
  </si>
  <si>
    <t>Agency Declaration in Dropbox</t>
  </si>
  <si>
    <t>Increase points for completing entire tool</t>
  </si>
  <si>
    <t>If # 24 = Yes, What project type are you planning to submit ?</t>
  </si>
  <si>
    <t>SELECT TYPE</t>
  </si>
  <si>
    <t>#25 Does 100 % of all homeless dedicated projects commit to follow CoC Community standards (both HUD and non-HUD funded)?</t>
  </si>
  <si>
    <t>Agency signed commitment form in Dropbox.</t>
  </si>
  <si>
    <t>Remove - If TH for youth needed it will be threshold</t>
  </si>
  <si>
    <t>2017 Transitional Housing  RENEWAL TOOL</t>
  </si>
  <si>
    <t>2016 CoC TRANSITIONAL HOUSING  RENEWAL SCORING TOOL</t>
  </si>
  <si>
    <t>Item</t>
  </si>
  <si>
    <t>Description</t>
  </si>
  <si>
    <t>Value</t>
  </si>
  <si>
    <t>Section Total</t>
  </si>
  <si>
    <t>Item #</t>
  </si>
  <si>
    <t xml:space="preserve"> Value</t>
  </si>
  <si>
    <r>
      <t> </t>
    </r>
    <r>
      <rPr>
        <b/>
        <sz val="10"/>
        <rFont val="Calibri"/>
        <family val="2"/>
      </rPr>
      <t>Section Points</t>
    </r>
  </si>
  <si>
    <t>Section I: Project Performance and Outcomes</t>
  </si>
  <si>
    <t>Points</t>
  </si>
  <si>
    <t xml:space="preserve">Section I </t>
  </si>
  <si>
    <t>Project Performance and Outcomes</t>
  </si>
  <si>
    <t>Housing Stability / Outcome Measure</t>
  </si>
  <si>
    <t>1a</t>
  </si>
  <si>
    <t>Housing Stability -Leavers only</t>
  </si>
  <si>
    <t>Total Income Measure - Adults who increased income-  any source</t>
  </si>
  <si>
    <t>1b</t>
  </si>
  <si>
    <t>Housing Stability Improvement - Leavers (2017 scoring vs. 2016 scoring)</t>
  </si>
  <si>
    <t>Earned Income Measure - Adults (18 - 61) who increased their earned income</t>
  </si>
  <si>
    <t>Total Increased Income - Any Source</t>
  </si>
  <si>
    <t>Non-cash Benefits, Leavers and stayers</t>
  </si>
  <si>
    <t>Increased Earned Income - Adults</t>
  </si>
  <si>
    <t xml:space="preserve">Mainstream Resources </t>
  </si>
  <si>
    <t xml:space="preserve">Non-Cash Benefits </t>
  </si>
  <si>
    <t>Length of Stay Rapid Return - Leavers to PH</t>
  </si>
  <si>
    <t>Mainstream Resourcess</t>
  </si>
  <si>
    <t xml:space="preserve">Reduction in Average Length of Stay 2014 -15 (TH, SH) </t>
  </si>
  <si>
    <t>Rapid Response - Average Length of Stay</t>
  </si>
  <si>
    <t>Housing First Principles - Housing First Principles</t>
  </si>
  <si>
    <t>Reduction in Average Length of Stay</t>
  </si>
  <si>
    <t xml:space="preserve">Housing First  &amp; Low Barrier </t>
  </si>
  <si>
    <t>Resource Utilization - Bed Utilization</t>
  </si>
  <si>
    <t>Section II</t>
  </si>
  <si>
    <t>Resource Utilization</t>
  </si>
  <si>
    <t>Resource Utilization - Cost Effectiveness</t>
  </si>
  <si>
    <t>Bed Utilization</t>
  </si>
  <si>
    <t>Resource Utilization - Grant Spend Out</t>
  </si>
  <si>
    <t>10a</t>
  </si>
  <si>
    <t>Cost Comparison - HUD Funds</t>
  </si>
  <si>
    <t>10b</t>
  </si>
  <si>
    <t>Cost Comparison - Total Budget</t>
  </si>
  <si>
    <t xml:space="preserve">Section III: ACUITY and SPECIAL NEEDS </t>
  </si>
  <si>
    <t>Grant Spend Out</t>
  </si>
  <si>
    <t>Best Practice Housing Usage - Transitional Housing</t>
  </si>
  <si>
    <t>High Need - General Disability HH</t>
  </si>
  <si>
    <t>Section III</t>
  </si>
  <si>
    <t>Acuity and Special Needs</t>
  </si>
  <si>
    <t>High Need Priority Populations Indicators</t>
  </si>
  <si>
    <t>Best Practice Housing Usage</t>
  </si>
  <si>
    <t xml:space="preserve">Special Need - Client type , Ending Homelessness Goal </t>
  </si>
  <si>
    <t>High Need- General Disablity Household</t>
  </si>
  <si>
    <t>Residence Prior to Program Entry</t>
  </si>
  <si>
    <t>High Need Priority Populations</t>
  </si>
  <si>
    <t>Creation or Preservation of Units/Beds</t>
  </si>
  <si>
    <t>Section IV</t>
  </si>
  <si>
    <t>CoC System Improvement</t>
  </si>
  <si>
    <t xml:space="preserve">Fills Subregional Gap / Need </t>
  </si>
  <si>
    <t>Preservation of Units/ Beds</t>
  </si>
  <si>
    <t>Meets HUD Low Barrier Characteristics</t>
  </si>
  <si>
    <t>Fills Subregional Gap</t>
  </si>
  <si>
    <t xml:space="preserve">Percentage of vacancy filled by chronic or veteran </t>
  </si>
  <si>
    <t>Percentage Turnover Filled by Priority</t>
  </si>
  <si>
    <t>Percentage of Return to Homelessness (Leavers &gt;90 d)</t>
  </si>
  <si>
    <t>Return to Homelessness</t>
  </si>
  <si>
    <t>Section V: CAHP PARTICIPATION</t>
  </si>
  <si>
    <t>Section V</t>
  </si>
  <si>
    <t>Data Quality</t>
  </si>
  <si>
    <t>Commitment to  Coordinated Assessment and Housing Placement (CAHP)</t>
  </si>
  <si>
    <t>Percent Null Values</t>
  </si>
  <si>
    <t>Participation in CAHP Training</t>
  </si>
  <si>
    <t>Timeliness of Data Input</t>
  </si>
  <si>
    <t>Agency Participation in CAHP System Development</t>
  </si>
  <si>
    <t>HIC Accuracy &amp; Timeliness</t>
  </si>
  <si>
    <t>HMIS Participation (non-CoC beds)</t>
  </si>
  <si>
    <t>Section VI: DATA QUALITY</t>
  </si>
  <si>
    <t xml:space="preserve">Data Completeness-  Percent Null Values </t>
  </si>
  <si>
    <t>Section VI BONUS</t>
  </si>
  <si>
    <t>Timeliness of HMIS Data Input</t>
  </si>
  <si>
    <t>Voluntary Reallocation</t>
  </si>
  <si>
    <t>HIC Accuracy and Timeliness</t>
  </si>
  <si>
    <t xml:space="preserve">Commitment to Standards </t>
  </si>
  <si>
    <t>HMIS Participation - All Programs</t>
  </si>
  <si>
    <t>TOTAL POINTS</t>
  </si>
  <si>
    <t>Section VII: BONUS POINTS</t>
  </si>
  <si>
    <t>Agency SWAP Cost Effectiveness Tool</t>
  </si>
  <si>
    <t>Youth Projects</t>
  </si>
  <si>
    <t>TOTAL</t>
  </si>
  <si>
    <t>SELECT LEVEL</t>
  </si>
  <si>
    <t>SELECT FROM DROP DOWN MENU</t>
  </si>
  <si>
    <t>YES</t>
  </si>
  <si>
    <t>LOW</t>
  </si>
  <si>
    <t>Project serves households without children</t>
  </si>
  <si>
    <t>PSH</t>
  </si>
  <si>
    <t>NO</t>
  </si>
  <si>
    <t>MEDIUM</t>
  </si>
  <si>
    <t>Project serves households with children</t>
  </si>
  <si>
    <t>Conjoint</t>
  </si>
  <si>
    <t>HIGH</t>
  </si>
  <si>
    <t>RRH</t>
  </si>
  <si>
    <t>Change</t>
  </si>
  <si>
    <t>Increases 5 points</t>
  </si>
  <si>
    <t>Rapid Return to PH (Less than 90 days)</t>
  </si>
  <si>
    <t>Reduction in Average Length of Stay 2015 to 2016</t>
  </si>
  <si>
    <t>Increases 7 points</t>
  </si>
  <si>
    <t>Graant Spend Out</t>
  </si>
  <si>
    <t>Decreases 1 point</t>
  </si>
  <si>
    <t>No change</t>
  </si>
  <si>
    <t>Now Eligiblity Threshold 14 points redistributed</t>
  </si>
  <si>
    <t>SWAP Tool completed</t>
  </si>
  <si>
    <t>Increases 3 points, add Commitment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</si>
</sst>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&quot;$&quot;#,##0"/>
    <numFmt numFmtId="168" formatCode="0.00000%"/>
  </numFmts>
  <fonts count="56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b/>
      <sz val="10"/>
      <color rgb="FFDD080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1"/>
      <color rgb="FFFF0000"/>
      <name val="Arial"/>
      <family val="2"/>
    </font>
    <font>
      <b/>
      <sz val="9"/>
      <color theme="4" tint="-0.499984740745262"/>
      <name val="Arial"/>
      <family val="2"/>
    </font>
    <font>
      <b/>
      <sz val="8"/>
      <color theme="4" tint="-0.499984740745262"/>
      <name val="Arial"/>
      <family val="2"/>
    </font>
    <font>
      <b/>
      <sz val="14"/>
      <color rgb="FFFFFF00"/>
      <name val="Arial"/>
      <family val="2"/>
    </font>
    <font>
      <sz val="14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sz val="12"/>
      <color rgb="FF9C6500"/>
      <name val="Calibri"/>
      <family val="2"/>
      <scheme val="minor"/>
    </font>
    <font>
      <sz val="10"/>
      <color theme="0"/>
      <name val="Arial"/>
      <family val="2"/>
    </font>
    <font>
      <sz val="11"/>
      <color theme="4" tint="-0.499984740745262"/>
      <name val="Arial"/>
      <family val="2"/>
    </font>
    <font>
      <b/>
      <sz val="12"/>
      <color rgb="FFFF0000"/>
      <name val="Arial"/>
      <family val="2"/>
    </font>
    <font>
      <sz val="14"/>
      <color theme="4"/>
      <name val="Arial"/>
      <family val="2"/>
    </font>
    <font>
      <sz val="10"/>
      <color theme="4"/>
      <name val="Arial"/>
      <family val="2"/>
    </font>
    <font>
      <b/>
      <sz val="14"/>
      <color theme="1"/>
      <name val="Arial"/>
      <family val="2"/>
    </font>
    <font>
      <b/>
      <sz val="10"/>
      <color rgb="FFFFFF00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rgb="FFFFFF00"/>
      <name val="Calibri"/>
      <family val="2"/>
    </font>
    <font>
      <b/>
      <sz val="11"/>
      <color rgb="FFFFFF00"/>
      <name val="Calibri"/>
      <family val="2"/>
    </font>
    <font>
      <b/>
      <i/>
      <sz val="10"/>
      <color rgb="FFFF0000"/>
      <name val="Arial"/>
      <family val="2"/>
    </font>
    <font>
      <b/>
      <sz val="11"/>
      <color theme="4" tint="-0.249977111117893"/>
      <name val="Arial"/>
      <family val="2"/>
    </font>
    <font>
      <sz val="10"/>
      <color rgb="FFFF0000"/>
      <name val="Arial"/>
    </font>
    <font>
      <sz val="10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49">
    <xf numFmtId="0" fontId="0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</cellStyleXfs>
  <cellXfs count="617">
    <xf numFmtId="0" fontId="0" fillId="0" borderId="0" xfId="0"/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 hidden="1"/>
    </xf>
    <xf numFmtId="1" fontId="0" fillId="0" borderId="1" xfId="0" applyNumberFormat="1" applyFont="1" applyFill="1" applyBorder="1" applyAlignment="1" applyProtection="1">
      <alignment horizontal="center" vertical="center"/>
      <protection locked="0" hidden="1"/>
    </xf>
    <xf numFmtId="1" fontId="4" fillId="0" borderId="1" xfId="0" applyNumberFormat="1" applyFont="1" applyFill="1" applyBorder="1" applyAlignment="1" applyProtection="1">
      <alignment horizontal="center" vertical="center"/>
    </xf>
    <xf numFmtId="3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2" fillId="3" borderId="4" xfId="0" applyNumberFormat="1" applyFont="1" applyFill="1" applyBorder="1" applyAlignment="1" applyProtection="1">
      <alignment horizontal="center" vertical="center"/>
      <protection locked="0"/>
    </xf>
    <xf numFmtId="3" fontId="0" fillId="3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</xf>
    <xf numFmtId="0" fontId="5" fillId="4" borderId="0" xfId="0" applyFont="1" applyFill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0" xfId="0" applyFill="1" applyAlignment="1">
      <alignment vertical="center"/>
    </xf>
    <xf numFmtId="165" fontId="0" fillId="4" borderId="0" xfId="1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66" fontId="0" fillId="4" borderId="0" xfId="0" applyNumberFormat="1" applyFill="1" applyBorder="1" applyAlignment="1">
      <alignment horizontal="center" vertical="center"/>
    </xf>
    <xf numFmtId="0" fontId="0" fillId="4" borderId="0" xfId="0" applyFont="1" applyFill="1" applyBorder="1" applyAlignment="1" applyProtection="1">
      <alignment horizontal="left" vertical="center" wrapText="1"/>
    </xf>
    <xf numFmtId="9" fontId="0" fillId="4" borderId="0" xfId="1" applyFont="1" applyFill="1" applyBorder="1" applyAlignment="1">
      <alignment horizontal="center" vertical="center"/>
    </xf>
    <xf numFmtId="9" fontId="0" fillId="4" borderId="0" xfId="1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 vertical="center"/>
    </xf>
    <xf numFmtId="0" fontId="22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vertical="center" wrapText="1"/>
    </xf>
    <xf numFmtId="1" fontId="25" fillId="7" borderId="3" xfId="0" applyNumberFormat="1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right" vertical="center" wrapText="1"/>
    </xf>
    <xf numFmtId="164" fontId="4" fillId="4" borderId="0" xfId="0" applyNumberFormat="1" applyFont="1" applyFill="1" applyAlignment="1" applyProtection="1">
      <alignment horizontal="center" vertical="center"/>
      <protection locked="0"/>
    </xf>
    <xf numFmtId="10" fontId="4" fillId="4" borderId="0" xfId="0" applyNumberFormat="1" applyFont="1" applyFill="1" applyBorder="1" applyAlignment="1" applyProtection="1">
      <alignment horizontal="center" vertical="center"/>
    </xf>
    <xf numFmtId="0" fontId="25" fillId="7" borderId="4" xfId="0" applyFont="1" applyFill="1" applyBorder="1" applyAlignment="1" applyProtection="1">
      <alignment horizontal="left" vertical="center"/>
    </xf>
    <xf numFmtId="0" fontId="0" fillId="4" borderId="0" xfId="0" applyFill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right" vertical="center"/>
    </xf>
    <xf numFmtId="0" fontId="0" fillId="4" borderId="0" xfId="0" applyFont="1" applyFill="1" applyAlignment="1" applyProtection="1">
      <alignment horizontal="right" vertical="center"/>
    </xf>
    <xf numFmtId="9" fontId="4" fillId="4" borderId="13" xfId="1" applyFont="1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26" fillId="4" borderId="0" xfId="730" applyFont="1" applyFill="1" applyBorder="1" applyAlignment="1" applyProtection="1">
      <alignment horizontal="left" vertical="center"/>
    </xf>
    <xf numFmtId="164" fontId="2" fillId="4" borderId="0" xfId="0" applyNumberFormat="1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center" vertical="center"/>
    </xf>
    <xf numFmtId="1" fontId="0" fillId="4" borderId="0" xfId="0" applyNumberFormat="1" applyFill="1" applyBorder="1" applyAlignment="1" applyProtection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left" vertical="center" wrapText="1"/>
    </xf>
    <xf numFmtId="1" fontId="0" fillId="4" borderId="0" xfId="0" applyNumberFormat="1" applyFill="1" applyBorder="1" applyAlignment="1">
      <alignment horizontal="left" vertical="center"/>
    </xf>
    <xf numFmtId="0" fontId="25" fillId="4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Alignment="1" applyProtection="1">
      <alignment horizontal="right" vertical="center"/>
    </xf>
    <xf numFmtId="0" fontId="24" fillId="4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4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6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vertical="center" wrapText="1"/>
    </xf>
    <xf numFmtId="0" fontId="23" fillId="4" borderId="0" xfId="0" applyFont="1" applyFill="1" applyBorder="1" applyAlignment="1" applyProtection="1">
      <alignment horizontal="right" vertical="center" wrapText="1"/>
    </xf>
    <xf numFmtId="0" fontId="23" fillId="4" borderId="0" xfId="0" applyFont="1" applyFill="1" applyBorder="1" applyAlignment="1" applyProtection="1">
      <alignment horizontal="right" vertical="center"/>
    </xf>
    <xf numFmtId="0" fontId="23" fillId="4" borderId="0" xfId="0" applyFont="1" applyFill="1" applyBorder="1" applyAlignment="1" applyProtection="1">
      <alignment vertical="center" wrapText="1"/>
    </xf>
    <xf numFmtId="0" fontId="23" fillId="4" borderId="0" xfId="0" applyFont="1" applyFill="1" applyBorder="1" applyAlignment="1" applyProtection="1">
      <alignment horizontal="left" vertical="center" indent="1"/>
    </xf>
    <xf numFmtId="0" fontId="23" fillId="6" borderId="0" xfId="0" applyFont="1" applyFill="1" applyBorder="1" applyAlignment="1" applyProtection="1">
      <alignment horizontal="right" vertical="center" wrapText="1"/>
    </xf>
    <xf numFmtId="0" fontId="17" fillId="0" borderId="0" xfId="0" applyFont="1" applyAlignment="1" applyProtection="1">
      <alignment vertical="center"/>
    </xf>
    <xf numFmtId="0" fontId="17" fillId="4" borderId="0" xfId="0" applyFont="1" applyFill="1" applyAlignment="1" applyProtection="1">
      <alignment vertical="center"/>
    </xf>
    <xf numFmtId="0" fontId="17" fillId="4" borderId="0" xfId="0" applyFont="1" applyFill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right" vertical="center"/>
    </xf>
    <xf numFmtId="0" fontId="23" fillId="6" borderId="0" xfId="0" applyFont="1" applyFill="1" applyBorder="1" applyAlignment="1" applyProtection="1">
      <alignment vertical="center" wrapText="1"/>
    </xf>
    <xf numFmtId="0" fontId="16" fillId="4" borderId="0" xfId="0" applyFont="1" applyFill="1" applyBorder="1" applyAlignment="1" applyProtection="1">
      <alignment vertical="center" wrapText="1"/>
    </xf>
    <xf numFmtId="0" fontId="2" fillId="4" borderId="0" xfId="0" applyFont="1" applyFill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 wrapText="1"/>
    </xf>
    <xf numFmtId="0" fontId="24" fillId="6" borderId="0" xfId="0" applyFont="1" applyFill="1" applyBorder="1" applyAlignment="1" applyProtection="1">
      <alignment horizontal="left" vertical="center" indent="1"/>
    </xf>
    <xf numFmtId="0" fontId="24" fillId="6" borderId="0" xfId="0" applyFont="1" applyFill="1" applyBorder="1" applyAlignment="1" applyProtection="1">
      <alignment horizontal="right" vertical="center" wrapText="1"/>
    </xf>
    <xf numFmtId="0" fontId="0" fillId="4" borderId="0" xfId="0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>
      <alignment vertical="center" wrapText="1"/>
    </xf>
    <xf numFmtId="0" fontId="25" fillId="4" borderId="0" xfId="0" applyFont="1" applyFill="1" applyBorder="1" applyAlignment="1" applyProtection="1">
      <alignment vertical="center" wrapText="1"/>
    </xf>
    <xf numFmtId="0" fontId="28" fillId="4" borderId="0" xfId="0" applyFont="1" applyFill="1" applyBorder="1" applyAlignment="1" applyProtection="1">
      <alignment horizontal="left" vertical="center"/>
    </xf>
    <xf numFmtId="5" fontId="2" fillId="3" borderId="4" xfId="665" applyNumberFormat="1" applyFont="1" applyFill="1" applyBorder="1" applyAlignment="1" applyProtection="1">
      <alignment horizontal="center" vertical="center"/>
      <protection locked="0"/>
    </xf>
    <xf numFmtId="9" fontId="0" fillId="4" borderId="0" xfId="0" applyNumberFormat="1" applyFill="1" applyBorder="1" applyAlignment="1">
      <alignment horizontal="right" vertical="center"/>
    </xf>
    <xf numFmtId="9" fontId="2" fillId="4" borderId="0" xfId="0" applyNumberFormat="1" applyFont="1" applyFill="1" applyBorder="1" applyAlignment="1">
      <alignment horizontal="center" vertical="center"/>
    </xf>
    <xf numFmtId="9" fontId="0" fillId="4" borderId="0" xfId="0" applyNumberFormat="1" applyFill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9" fontId="0" fillId="4" borderId="0" xfId="0" applyNumberFormat="1" applyFill="1" applyBorder="1" applyAlignment="1">
      <alignment horizontal="center" vertical="center"/>
    </xf>
    <xf numFmtId="9" fontId="2" fillId="0" borderId="16" xfId="1" applyFont="1" applyBorder="1" applyAlignment="1" applyProtection="1">
      <alignment horizontal="center" vertical="center"/>
      <protection hidden="1"/>
    </xf>
    <xf numFmtId="9" fontId="2" fillId="0" borderId="1" xfId="1" applyNumberFormat="1" applyFont="1" applyBorder="1" applyAlignment="1" applyProtection="1">
      <alignment horizontal="center" vertical="center"/>
      <protection hidden="1"/>
    </xf>
    <xf numFmtId="0" fontId="26" fillId="4" borderId="0" xfId="0" applyFont="1" applyFill="1" applyBorder="1" applyAlignment="1" applyProtection="1">
      <alignment vertical="center"/>
    </xf>
    <xf numFmtId="1" fontId="2" fillId="4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18" fillId="4" borderId="0" xfId="0" applyNumberFormat="1" applyFont="1" applyFill="1" applyBorder="1" applyAlignment="1" applyProtection="1">
      <alignment horizontal="center" vertical="center"/>
    </xf>
    <xf numFmtId="165" fontId="2" fillId="4" borderId="0" xfId="1" applyNumberFormat="1" applyFont="1" applyFill="1" applyBorder="1" applyAlignment="1" applyProtection="1">
      <alignment horizontal="center" vertical="center"/>
    </xf>
    <xf numFmtId="164" fontId="11" fillId="4" borderId="0" xfId="0" quotePrefix="1" applyNumberFormat="1" applyFont="1" applyFill="1" applyBorder="1" applyAlignment="1" applyProtection="1">
      <alignment horizontal="center" vertical="center" wrapText="1"/>
      <protection hidden="1"/>
    </xf>
    <xf numFmtId="164" fontId="2" fillId="4" borderId="0" xfId="0" applyNumberFormat="1" applyFont="1" applyFill="1" applyBorder="1" applyAlignment="1" applyProtection="1">
      <alignment horizontal="center" vertical="center"/>
    </xf>
    <xf numFmtId="164" fontId="0" fillId="4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 wrapText="1"/>
    </xf>
    <xf numFmtId="0" fontId="9" fillId="4" borderId="0" xfId="0" applyFont="1" applyFill="1" applyAlignment="1" applyProtection="1">
      <alignment horizontal="left" vertical="center" wrapText="1"/>
    </xf>
    <xf numFmtId="0" fontId="6" fillId="4" borderId="0" xfId="0" applyFont="1" applyFill="1" applyAlignment="1" applyProtection="1">
      <alignment horizontal="center" vertical="center" wrapText="1"/>
    </xf>
    <xf numFmtId="0" fontId="9" fillId="4" borderId="0" xfId="0" applyFont="1" applyFill="1" applyAlignment="1" applyProtection="1">
      <alignment horizontal="right" vertical="center" wrapText="1"/>
    </xf>
    <xf numFmtId="0" fontId="10" fillId="4" borderId="0" xfId="0" applyFont="1" applyFill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0" fontId="6" fillId="4" borderId="0" xfId="0" applyFont="1" applyFill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right" vertical="center" wrapText="1"/>
    </xf>
    <xf numFmtId="0" fontId="2" fillId="4" borderId="4" xfId="0" applyFont="1" applyFill="1" applyBorder="1" applyAlignment="1" applyProtection="1">
      <alignment horizontal="right" vertical="center"/>
    </xf>
    <xf numFmtId="0" fontId="4" fillId="4" borderId="4" xfId="0" applyFont="1" applyFill="1" applyBorder="1" applyAlignment="1" applyProtection="1">
      <alignment horizontal="right" vertical="center" wrapText="1"/>
    </xf>
    <xf numFmtId="0" fontId="4" fillId="4" borderId="4" xfId="0" applyFont="1" applyFill="1" applyBorder="1" applyAlignment="1" applyProtection="1">
      <alignment horizontal="right" vertical="center"/>
    </xf>
    <xf numFmtId="0" fontId="10" fillId="4" borderId="6" xfId="0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4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4" borderId="0" xfId="0" applyFont="1" applyFill="1" applyBorder="1" applyAlignment="1">
      <alignment horizontal="center" vertical="center"/>
    </xf>
    <xf numFmtId="165" fontId="25" fillId="7" borderId="3" xfId="0" applyNumberFormat="1" applyFont="1" applyFill="1" applyBorder="1" applyAlignment="1" applyProtection="1">
      <alignment vertical="center" wrapText="1"/>
    </xf>
    <xf numFmtId="49" fontId="5" fillId="3" borderId="1" xfId="0" applyNumberFormat="1" applyFont="1" applyFill="1" applyBorder="1" applyAlignment="1" applyProtection="1">
      <alignment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165" fontId="5" fillId="4" borderId="0" xfId="1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165" fontId="0" fillId="4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9" fontId="16" fillId="0" borderId="0" xfId="1" applyFont="1" applyBorder="1" applyAlignment="1" applyProtection="1">
      <alignment horizontal="center" vertical="center"/>
    </xf>
    <xf numFmtId="0" fontId="31" fillId="6" borderId="0" xfId="0" applyFont="1" applyFill="1" applyBorder="1" applyAlignment="1" applyProtection="1">
      <alignment horizontal="left" vertical="center" indent="1"/>
    </xf>
    <xf numFmtId="0" fontId="2" fillId="4" borderId="0" xfId="0" applyFont="1" applyFill="1" applyBorder="1" applyAlignment="1">
      <alignment vertical="center"/>
    </xf>
    <xf numFmtId="9" fontId="0" fillId="0" borderId="0" xfId="0" applyNumberFormat="1" applyAlignment="1" applyProtection="1">
      <alignment horizontal="center" vertical="center"/>
    </xf>
    <xf numFmtId="9" fontId="32" fillId="4" borderId="0" xfId="1" applyFont="1" applyFill="1" applyBorder="1" applyAlignment="1" applyProtection="1">
      <alignment horizontal="center" vertical="center"/>
    </xf>
    <xf numFmtId="0" fontId="32" fillId="4" borderId="0" xfId="0" applyFont="1" applyFill="1" applyAlignment="1" applyProtection="1">
      <alignment vertical="center"/>
    </xf>
    <xf numFmtId="0" fontId="32" fillId="4" borderId="0" xfId="0" applyFont="1" applyFill="1" applyBorder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vertical="center" wrapText="1"/>
    </xf>
    <xf numFmtId="0" fontId="33" fillId="4" borderId="0" xfId="0" applyFont="1" applyFill="1" applyBorder="1" applyAlignment="1" applyProtection="1">
      <alignment horizontal="center" vertical="center"/>
    </xf>
    <xf numFmtId="1" fontId="35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0" fontId="6" fillId="4" borderId="1" xfId="0" applyFont="1" applyFill="1" applyBorder="1" applyAlignment="1" applyProtection="1">
      <alignment horizontal="left" vertical="center" wrapText="1"/>
    </xf>
    <xf numFmtId="0" fontId="6" fillId="4" borderId="0" xfId="0" applyFont="1" applyFill="1" applyAlignment="1" applyProtection="1">
      <alignment vertical="center" wrapText="1"/>
    </xf>
    <xf numFmtId="0" fontId="2" fillId="4" borderId="0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left" vertical="center"/>
    </xf>
    <xf numFmtId="165" fontId="5" fillId="0" borderId="3" xfId="1" applyNumberFormat="1" applyFont="1" applyBorder="1" applyAlignment="1" applyProtection="1">
      <alignment horizontal="center" vertical="center"/>
    </xf>
    <xf numFmtId="0" fontId="9" fillId="4" borderId="1" xfId="0" applyFont="1" applyFill="1" applyBorder="1" applyAlignment="1" applyProtection="1">
      <alignment horizontal="right" vertical="center" wrapText="1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0" fillId="4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9" fontId="2" fillId="4" borderId="0" xfId="0" applyNumberFormat="1" applyFont="1" applyFill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right" vertical="center"/>
    </xf>
    <xf numFmtId="0" fontId="0" fillId="3" borderId="1" xfId="0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right" vertical="center" wrapText="1"/>
    </xf>
    <xf numFmtId="165" fontId="0" fillId="4" borderId="0" xfId="0" applyNumberForma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right" vertical="center" wrapText="1"/>
    </xf>
    <xf numFmtId="165" fontId="9" fillId="4" borderId="1" xfId="0" applyNumberFormat="1" applyFont="1" applyFill="1" applyBorder="1" applyAlignment="1" applyProtection="1">
      <alignment horizontal="right" vertical="center" wrapText="1"/>
    </xf>
    <xf numFmtId="0" fontId="0" fillId="4" borderId="3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64" fontId="2" fillId="4" borderId="0" xfId="0" applyNumberFormat="1" applyFont="1" applyFill="1" applyBorder="1" applyAlignment="1" applyProtection="1">
      <alignment horizontal="center"/>
    </xf>
    <xf numFmtId="164" fontId="2" fillId="4" borderId="0" xfId="0" applyNumberFormat="1" applyFont="1" applyFill="1" applyBorder="1" applyAlignment="1" applyProtection="1">
      <alignment horizontal="center" wrapText="1"/>
    </xf>
    <xf numFmtId="0" fontId="0" fillId="4" borderId="0" xfId="0" applyFill="1" applyBorder="1" applyAlignment="1"/>
    <xf numFmtId="1" fontId="4" fillId="4" borderId="0" xfId="0" applyNumberFormat="1" applyFont="1" applyFill="1" applyBorder="1" applyAlignment="1">
      <alignment horizontal="center"/>
    </xf>
    <xf numFmtId="0" fontId="15" fillId="4" borderId="0" xfId="0" applyFont="1" applyFill="1" applyBorder="1" applyAlignment="1" applyProtection="1">
      <alignment horizontal="center" wrapText="1"/>
    </xf>
    <xf numFmtId="0" fontId="7" fillId="4" borderId="0" xfId="0" applyFont="1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left"/>
    </xf>
    <xf numFmtId="1" fontId="0" fillId="4" borderId="0" xfId="0" applyNumberFormat="1" applyFill="1" applyBorder="1" applyAlignment="1">
      <alignment horizontal="center"/>
    </xf>
    <xf numFmtId="0" fontId="26" fillId="4" borderId="1" xfId="730" applyFont="1" applyFill="1" applyBorder="1" applyAlignment="1" applyProtection="1">
      <alignment horizontal="center" wrapText="1"/>
    </xf>
    <xf numFmtId="0" fontId="0" fillId="4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4" borderId="0" xfId="0" applyFill="1" applyAlignment="1" applyProtection="1">
      <alignment horizontal="center"/>
    </xf>
    <xf numFmtId="1" fontId="0" fillId="4" borderId="0" xfId="0" applyNumberFormat="1" applyFill="1" applyBorder="1" applyAlignment="1">
      <alignment horizontal="left"/>
    </xf>
    <xf numFmtId="0" fontId="0" fillId="4" borderId="0" xfId="0" applyFill="1" applyBorder="1" applyAlignment="1" applyProtection="1">
      <alignment horizontal="center"/>
    </xf>
    <xf numFmtId="0" fontId="26" fillId="4" borderId="0" xfId="73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25" fillId="7" borderId="3" xfId="0" applyFont="1" applyFill="1" applyBorder="1" applyAlignment="1" applyProtection="1">
      <alignment vertical="center" wrapText="1"/>
    </xf>
    <xf numFmtId="0" fontId="25" fillId="7" borderId="3" xfId="0" applyFont="1" applyFill="1" applyBorder="1" applyAlignment="1" applyProtection="1">
      <alignment horizontal="right" vertical="center" wrapText="1"/>
    </xf>
    <xf numFmtId="0" fontId="25" fillId="7" borderId="3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vertical="center" wrapText="1"/>
    </xf>
    <xf numFmtId="0" fontId="0" fillId="4" borderId="0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0" fillId="3" borderId="4" xfId="0" applyFill="1" applyBorder="1" applyAlignment="1" applyProtection="1">
      <alignment horizontal="center" vertical="center"/>
    </xf>
    <xf numFmtId="0" fontId="0" fillId="0" borderId="1" xfId="0" applyBorder="1"/>
    <xf numFmtId="0" fontId="4" fillId="0" borderId="1" xfId="0" applyFont="1" applyBorder="1"/>
    <xf numFmtId="0" fontId="2" fillId="0" borderId="1" xfId="0" applyFont="1" applyBorder="1"/>
    <xf numFmtId="1" fontId="0" fillId="0" borderId="0" xfId="0" applyNumberFormat="1" applyFill="1" applyBorder="1" applyAlignment="1">
      <alignment horizontal="center" vertical="center"/>
    </xf>
    <xf numFmtId="165" fontId="0" fillId="4" borderId="0" xfId="0" applyNumberForma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Alignment="1" applyProtection="1">
      <alignment vertical="center"/>
    </xf>
    <xf numFmtId="1" fontId="2" fillId="4" borderId="0" xfId="0" applyNumberFormat="1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5" fillId="7" borderId="9" xfId="0" applyFont="1" applyFill="1" applyBorder="1" applyAlignment="1" applyProtection="1">
      <alignment horizontal="left" vertical="center" wrapText="1"/>
    </xf>
    <xf numFmtId="10" fontId="0" fillId="0" borderId="1" xfId="0" applyNumberFormat="1" applyBorder="1" applyAlignment="1" applyProtection="1">
      <alignment horizontal="center" vertical="center"/>
    </xf>
    <xf numFmtId="9" fontId="0" fillId="4" borderId="0" xfId="0" applyNumberFormat="1" applyFill="1" applyAlignment="1" applyProtection="1">
      <alignment vertical="center"/>
    </xf>
    <xf numFmtId="9" fontId="0" fillId="4" borderId="1" xfId="0" applyNumberFormat="1" applyFont="1" applyFill="1" applyBorder="1" applyAlignment="1" applyProtection="1">
      <alignment horizontal="center" vertical="center"/>
      <protection locked="0"/>
    </xf>
    <xf numFmtId="9" fontId="0" fillId="4" borderId="1" xfId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right" vertical="center"/>
    </xf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9" fontId="0" fillId="4" borderId="0" xfId="1" applyFont="1" applyFill="1" applyBorder="1" applyAlignment="1">
      <alignment vertical="center"/>
    </xf>
    <xf numFmtId="1" fontId="0" fillId="4" borderId="0" xfId="0" applyNumberFormat="1" applyFill="1" applyBorder="1" applyAlignment="1">
      <alignment vertical="center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14" xfId="0" applyFont="1" applyFill="1" applyBorder="1" applyAlignment="1" applyProtection="1">
      <alignment vertical="center" wrapText="1"/>
    </xf>
    <xf numFmtId="0" fontId="2" fillId="4" borderId="5" xfId="0" applyFont="1" applyFill="1" applyBorder="1" applyAlignment="1" applyProtection="1">
      <alignment horizontal="center" vertical="center"/>
      <protection locked="0"/>
    </xf>
    <xf numFmtId="9" fontId="0" fillId="4" borderId="4" xfId="0" applyNumberForma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4" fillId="4" borderId="0" xfId="0" applyFont="1" applyFill="1" applyAlignment="1">
      <alignment horizontal="center" vertical="center"/>
    </xf>
    <xf numFmtId="1" fontId="20" fillId="4" borderId="0" xfId="0" applyNumberFormat="1" applyFont="1" applyFill="1" applyBorder="1" applyAlignment="1">
      <alignment horizontal="left" vertical="center"/>
    </xf>
    <xf numFmtId="0" fontId="34" fillId="4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vertical="center" wrapText="1"/>
    </xf>
    <xf numFmtId="0" fontId="20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</xf>
    <xf numFmtId="0" fontId="26" fillId="4" borderId="12" xfId="730" applyFont="1" applyFill="1" applyBorder="1" applyAlignment="1" applyProtection="1">
      <alignment horizontal="center" vertical="center" wrapText="1"/>
    </xf>
    <xf numFmtId="1" fontId="0" fillId="0" borderId="6" xfId="0" applyNumberFormat="1" applyFill="1" applyBorder="1" applyAlignment="1">
      <alignment horizontal="center"/>
    </xf>
    <xf numFmtId="0" fontId="20" fillId="4" borderId="0" xfId="0" applyFont="1" applyFill="1" applyBorder="1" applyAlignment="1" applyProtection="1">
      <alignment horizontal="right"/>
    </xf>
    <xf numFmtId="0" fontId="4" fillId="4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horizontal="right" vertical="center" wrapText="1"/>
    </xf>
    <xf numFmtId="0" fontId="0" fillId="4" borderId="6" xfId="0" applyFill="1" applyBorder="1" applyAlignment="1" applyProtection="1">
      <alignment horizontal="center"/>
    </xf>
    <xf numFmtId="1" fontId="2" fillId="0" borderId="14" xfId="665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1" fontId="5" fillId="8" borderId="18" xfId="0" applyNumberFormat="1" applyFont="1" applyFill="1" applyBorder="1" applyAlignment="1" applyProtection="1">
      <alignment horizontal="center" vertical="center"/>
    </xf>
    <xf numFmtId="0" fontId="27" fillId="4" borderId="0" xfId="730" applyFont="1" applyFill="1" applyBorder="1" applyAlignment="1" applyProtection="1">
      <alignment horizontal="center" vertical="center" wrapText="1"/>
    </xf>
    <xf numFmtId="0" fontId="27" fillId="4" borderId="0" xfId="730" applyFont="1" applyFill="1" applyBorder="1" applyAlignment="1" applyProtection="1">
      <alignment horizontal="center" wrapText="1"/>
    </xf>
    <xf numFmtId="9" fontId="2" fillId="4" borderId="1" xfId="0" applyNumberFormat="1" applyFont="1" applyFill="1" applyBorder="1" applyAlignment="1" applyProtection="1">
      <alignment horizontal="center" vertical="center"/>
      <protection hidden="1"/>
    </xf>
    <xf numFmtId="165" fontId="2" fillId="0" borderId="1" xfId="1" applyNumberFormat="1" applyFont="1" applyFill="1" applyBorder="1" applyAlignment="1" applyProtection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9" fontId="16" fillId="4" borderId="0" xfId="1" applyFont="1" applyFill="1" applyBorder="1" applyAlignment="1" applyProtection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9" fontId="18" fillId="4" borderId="1" xfId="1" applyFont="1" applyFill="1" applyBorder="1" applyAlignment="1" applyProtection="1">
      <alignment horizontal="center" vertical="center"/>
    </xf>
    <xf numFmtId="0" fontId="2" fillId="4" borderId="0" xfId="0" applyNumberFormat="1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32" fillId="4" borderId="0" xfId="0" applyFont="1" applyFill="1" applyAlignment="1" applyProtection="1"/>
    <xf numFmtId="9" fontId="0" fillId="4" borderId="0" xfId="0" applyNumberFormat="1" applyFill="1" applyAlignment="1" applyProtection="1">
      <alignment horizontal="center" vertical="center"/>
    </xf>
    <xf numFmtId="165" fontId="5" fillId="0" borderId="2" xfId="1" applyNumberFormat="1" applyFont="1" applyBorder="1" applyAlignment="1" applyProtection="1">
      <alignment horizontal="center" vertical="center"/>
    </xf>
    <xf numFmtId="1" fontId="2" fillId="0" borderId="1" xfId="1" applyNumberFormat="1" applyFont="1" applyBorder="1" applyAlignment="1" applyProtection="1">
      <alignment horizontal="center" vertical="center"/>
    </xf>
    <xf numFmtId="1" fontId="36" fillId="4" borderId="6" xfId="0" applyNumberFormat="1" applyFont="1" applyFill="1" applyBorder="1" applyAlignment="1">
      <alignment horizontal="center"/>
    </xf>
    <xf numFmtId="0" fontId="0" fillId="4" borderId="10" xfId="0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right" vertical="center"/>
    </xf>
    <xf numFmtId="3" fontId="0" fillId="4" borderId="11" xfId="0" applyNumberFormat="1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right" vertical="center"/>
    </xf>
    <xf numFmtId="3" fontId="0" fillId="4" borderId="3" xfId="0" applyNumberFormat="1" applyFont="1" applyFill="1" applyBorder="1" applyAlignment="1" applyProtection="1">
      <alignment horizontal="center" vertical="center"/>
      <protection locked="0"/>
    </xf>
    <xf numFmtId="165" fontId="0" fillId="4" borderId="2" xfId="0" applyNumberFormat="1" applyFill="1" applyBorder="1" applyAlignment="1">
      <alignment horizontal="right" vertical="center"/>
    </xf>
    <xf numFmtId="165" fontId="0" fillId="4" borderId="5" xfId="0" applyNumberFormat="1" applyFill="1" applyBorder="1" applyAlignment="1">
      <alignment horizontal="right" vertical="center"/>
    </xf>
    <xf numFmtId="9" fontId="2" fillId="0" borderId="1" xfId="1" applyFont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1" fontId="0" fillId="4" borderId="3" xfId="0" applyNumberFormat="1" applyFill="1" applyBorder="1" applyAlignment="1">
      <alignment horizontal="center"/>
    </xf>
    <xf numFmtId="0" fontId="2" fillId="4" borderId="0" xfId="0" applyFont="1" applyFill="1" applyAlignment="1" applyProtection="1">
      <alignment horizontal="center" vertical="center"/>
      <protection locked="0"/>
    </xf>
    <xf numFmtId="9" fontId="9" fillId="0" borderId="1" xfId="0" applyNumberFormat="1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horizontal="right" vertical="center" wrapText="1"/>
    </xf>
    <xf numFmtId="0" fontId="0" fillId="4" borderId="10" xfId="0" applyFill="1" applyBorder="1" applyAlignment="1" applyProtection="1">
      <alignment vertical="center"/>
    </xf>
    <xf numFmtId="1" fontId="8" fillId="8" borderId="18" xfId="0" applyNumberFormat="1" applyFont="1" applyFill="1" applyBorder="1" applyAlignment="1" applyProtection="1">
      <alignment horizontal="center" vertical="center"/>
    </xf>
    <xf numFmtId="0" fontId="25" fillId="4" borderId="0" xfId="0" applyFont="1" applyFill="1" applyBorder="1" applyAlignment="1" applyProtection="1">
      <alignment horizontal="left" vertical="center"/>
    </xf>
    <xf numFmtId="0" fontId="25" fillId="4" borderId="0" xfId="0" applyFont="1" applyFill="1" applyBorder="1" applyAlignment="1" applyProtection="1">
      <alignment horizontal="right" vertical="center"/>
    </xf>
    <xf numFmtId="0" fontId="4" fillId="4" borderId="0" xfId="730" applyFont="1" applyFill="1" applyBorder="1" applyAlignment="1" applyProtection="1">
      <alignment horizontal="left" vertical="center" wrapText="1"/>
    </xf>
    <xf numFmtId="0" fontId="4" fillId="9" borderId="1" xfId="0" applyFont="1" applyFill="1" applyBorder="1" applyAlignment="1" applyProtection="1">
      <alignment horizontal="right" wrapText="1"/>
    </xf>
    <xf numFmtId="0" fontId="26" fillId="7" borderId="4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center" vertical="center"/>
    </xf>
    <xf numFmtId="3" fontId="2" fillId="0" borderId="12" xfId="0" applyNumberFormat="1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right" vertical="center"/>
    </xf>
    <xf numFmtId="9" fontId="2" fillId="4" borderId="0" xfId="1" applyFont="1" applyFill="1" applyBorder="1" applyAlignment="1" applyProtection="1">
      <alignment horizontal="center"/>
    </xf>
    <xf numFmtId="9" fontId="2" fillId="4" borderId="0" xfId="1" applyFont="1" applyFill="1" applyBorder="1" applyAlignment="1" applyProtection="1">
      <alignment horizontal="center" vertical="center"/>
    </xf>
    <xf numFmtId="167" fontId="2" fillId="4" borderId="4" xfId="1" applyNumberFormat="1" applyFont="1" applyFill="1" applyBorder="1" applyAlignment="1" applyProtection="1">
      <alignment horizontal="center" vertical="center"/>
    </xf>
    <xf numFmtId="167" fontId="2" fillId="3" borderId="11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7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vertical="center" wrapText="1"/>
    </xf>
    <xf numFmtId="0" fontId="16" fillId="0" borderId="0" xfId="0" applyFont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4" borderId="0" xfId="0" applyFill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0" fontId="26" fillId="4" borderId="1" xfId="730" applyFont="1" applyFill="1" applyBorder="1" applyAlignment="1" applyProtection="1">
      <alignment horizontal="center" vertical="center" wrapText="1"/>
    </xf>
    <xf numFmtId="165" fontId="16" fillId="4" borderId="0" xfId="1" applyNumberFormat="1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vertical="center" wrapText="1"/>
    </xf>
    <xf numFmtId="0" fontId="17" fillId="5" borderId="0" xfId="0" applyFont="1" applyFill="1" applyAlignment="1" applyProtection="1">
      <alignment vertical="center" wrapText="1"/>
    </xf>
    <xf numFmtId="0" fontId="2" fillId="4" borderId="5" xfId="0" applyFont="1" applyFill="1" applyBorder="1" applyAlignment="1" applyProtection="1">
      <alignment horizontal="left" vertical="center"/>
    </xf>
    <xf numFmtId="1" fontId="2" fillId="4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right" vertical="center" wrapText="1"/>
    </xf>
    <xf numFmtId="9" fontId="2" fillId="4" borderId="0" xfId="0" applyNumberFormat="1" applyFont="1" applyFill="1" applyBorder="1" applyAlignment="1" applyProtection="1">
      <alignment horizontal="center" vertical="center"/>
      <protection hidden="1"/>
    </xf>
    <xf numFmtId="0" fontId="31" fillId="6" borderId="4" xfId="0" applyFont="1" applyFill="1" applyBorder="1" applyAlignment="1" applyProtection="1">
      <alignment horizontal="left" vertical="center" indent="1"/>
    </xf>
    <xf numFmtId="0" fontId="23" fillId="6" borderId="3" xfId="0" applyFont="1" applyFill="1" applyBorder="1" applyAlignment="1" applyProtection="1">
      <alignment vertical="center" wrapText="1"/>
    </xf>
    <xf numFmtId="0" fontId="18" fillId="3" borderId="1" xfId="1" applyNumberFormat="1" applyFont="1" applyFill="1" applyBorder="1" applyAlignment="1" applyProtection="1">
      <alignment horizontal="center" vertical="center"/>
    </xf>
    <xf numFmtId="0" fontId="2" fillId="3" borderId="1" xfId="1" applyNumberFormat="1" applyFont="1" applyFill="1" applyBorder="1" applyAlignment="1" applyProtection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 applyProtection="1">
      <alignment horizontal="center" vertical="center"/>
    </xf>
    <xf numFmtId="9" fontId="2" fillId="4" borderId="1" xfId="1" applyFont="1" applyFill="1" applyBorder="1" applyAlignment="1" applyProtection="1">
      <alignment horizontal="center" vertical="center"/>
    </xf>
    <xf numFmtId="1" fontId="18" fillId="3" borderId="11" xfId="1" applyNumberFormat="1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left" vertical="center" indent="1"/>
    </xf>
    <xf numFmtId="0" fontId="24" fillId="4" borderId="0" xfId="0" applyFont="1" applyFill="1" applyBorder="1" applyAlignment="1" applyProtection="1">
      <alignment vertical="center" wrapText="1"/>
    </xf>
    <xf numFmtId="0" fontId="24" fillId="4" borderId="0" xfId="0" applyFont="1" applyFill="1" applyBorder="1" applyAlignment="1" applyProtection="1">
      <alignment horizontal="right" vertical="center"/>
    </xf>
    <xf numFmtId="0" fontId="24" fillId="4" borderId="0" xfId="0" applyFont="1" applyFill="1" applyBorder="1" applyAlignment="1" applyProtection="1">
      <alignment horizontal="right" vertical="center" wrapText="1"/>
    </xf>
    <xf numFmtId="0" fontId="17" fillId="4" borderId="0" xfId="0" applyFont="1" applyFill="1" applyAlignment="1" applyProtection="1">
      <alignment vertical="center" wrapText="1"/>
    </xf>
    <xf numFmtId="1" fontId="5" fillId="4" borderId="23" xfId="0" applyNumberFormat="1" applyFont="1" applyFill="1" applyBorder="1" applyAlignment="1" applyProtection="1">
      <alignment horizontal="center" vertical="center"/>
      <protection hidden="1"/>
    </xf>
    <xf numFmtId="1" fontId="5" fillId="4" borderId="23" xfId="0" applyNumberFormat="1" applyFont="1" applyFill="1" applyBorder="1" applyAlignment="1" applyProtection="1">
      <alignment horizontal="center"/>
    </xf>
    <xf numFmtId="1" fontId="8" fillId="4" borderId="24" xfId="0" applyNumberFormat="1" applyFont="1" applyFill="1" applyBorder="1" applyAlignment="1" applyProtection="1">
      <alignment horizontal="center" vertical="center"/>
      <protection hidden="1"/>
    </xf>
    <xf numFmtId="1" fontId="8" fillId="4" borderId="24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6" fillId="0" borderId="0" xfId="0" applyFont="1" applyFill="1" applyAlignment="1" applyProtection="1">
      <alignment vertical="center"/>
    </xf>
    <xf numFmtId="3" fontId="25" fillId="7" borderId="3" xfId="0" applyNumberFormat="1" applyFont="1" applyFill="1" applyBorder="1" applyAlignment="1" applyProtection="1">
      <alignment horizontal="left" vertical="center" wrapText="1"/>
    </xf>
    <xf numFmtId="0" fontId="6" fillId="4" borderId="0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41" fillId="0" borderId="0" xfId="0" applyFont="1" applyFill="1" applyBorder="1" applyAlignment="1" applyProtection="1">
      <alignment vertical="center" wrapText="1"/>
    </xf>
    <xf numFmtId="0" fontId="43" fillId="0" borderId="0" xfId="0" applyFont="1" applyFill="1" applyAlignment="1" applyProtection="1">
      <alignment vertical="center" wrapText="1"/>
    </xf>
    <xf numFmtId="1" fontId="6" fillId="4" borderId="0" xfId="0" applyNumberFormat="1" applyFont="1" applyFill="1" applyBorder="1" applyAlignment="1">
      <alignment horizontal="left" vertical="center"/>
    </xf>
    <xf numFmtId="0" fontId="6" fillId="4" borderId="0" xfId="0" applyFont="1" applyFill="1" applyBorder="1" applyAlignment="1" applyProtection="1">
      <alignment vertical="center"/>
    </xf>
    <xf numFmtId="1" fontId="43" fillId="4" borderId="0" xfId="0" applyNumberFormat="1" applyFont="1" applyFill="1" applyBorder="1" applyAlignment="1" applyProtection="1">
      <alignment horizontal="center" vertical="center"/>
    </xf>
    <xf numFmtId="0" fontId="2" fillId="4" borderId="1" xfId="747" applyFont="1" applyFill="1" applyBorder="1" applyAlignment="1" applyProtection="1">
      <alignment horizontal="left" vertical="center"/>
    </xf>
    <xf numFmtId="0" fontId="2" fillId="4" borderId="1" xfId="747" applyFont="1" applyFill="1" applyBorder="1" applyAlignment="1" applyProtection="1">
      <alignment vertical="center" wrapText="1"/>
    </xf>
    <xf numFmtId="165" fontId="2" fillId="3" borderId="1" xfId="1" applyNumberFormat="1" applyFont="1" applyFill="1" applyBorder="1" applyAlignment="1" applyProtection="1">
      <alignment horizontal="center" vertical="center"/>
    </xf>
    <xf numFmtId="1" fontId="2" fillId="4" borderId="1" xfId="1" applyNumberFormat="1" applyFont="1" applyFill="1" applyBorder="1" applyAlignment="1" applyProtection="1">
      <alignment horizontal="center" vertical="center"/>
    </xf>
    <xf numFmtId="0" fontId="28" fillId="4" borderId="0" xfId="0" applyFont="1" applyFill="1" applyBorder="1" applyAlignment="1" applyProtection="1">
      <alignment vertical="center" wrapText="1"/>
    </xf>
    <xf numFmtId="0" fontId="2" fillId="4" borderId="6" xfId="0" applyFont="1" applyFill="1" applyBorder="1" applyAlignment="1" applyProtection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0" fontId="2" fillId="4" borderId="0" xfId="0" applyFont="1" applyFill="1" applyAlignment="1" applyProtection="1">
      <alignment horizontal="left" vertical="center"/>
    </xf>
    <xf numFmtId="1" fontId="42" fillId="4" borderId="0" xfId="0" applyNumberFormat="1" applyFont="1" applyFill="1" applyBorder="1" applyAlignment="1">
      <alignment horizontal="left" vertical="center"/>
    </xf>
    <xf numFmtId="0" fontId="28" fillId="4" borderId="0" xfId="0" applyFont="1" applyFill="1" applyAlignment="1" applyProtection="1">
      <alignment vertical="center"/>
    </xf>
    <xf numFmtId="0" fontId="40" fillId="7" borderId="3" xfId="0" applyFont="1" applyFill="1" applyBorder="1" applyAlignment="1" applyProtection="1">
      <alignment horizontal="right" vertical="center" wrapText="1"/>
    </xf>
    <xf numFmtId="0" fontId="18" fillId="4" borderId="0" xfId="0" applyFont="1" applyFill="1" applyAlignment="1" applyProtection="1">
      <alignment horizontal="center" vertical="center"/>
    </xf>
    <xf numFmtId="0" fontId="18" fillId="4" borderId="0" xfId="0" applyFont="1" applyFill="1" applyAlignment="1" applyProtection="1">
      <alignment vertical="center"/>
    </xf>
    <xf numFmtId="0" fontId="18" fillId="4" borderId="0" xfId="0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43" fillId="0" borderId="0" xfId="0" applyFont="1" applyFill="1" applyAlignment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26" fillId="4" borderId="0" xfId="0" applyFont="1" applyFill="1" applyBorder="1" applyAlignment="1" applyProtection="1">
      <alignment vertical="center" wrapText="1"/>
    </xf>
    <xf numFmtId="1" fontId="26" fillId="4" borderId="0" xfId="0" applyNumberFormat="1" applyFont="1" applyFill="1" applyBorder="1" applyAlignment="1" applyProtection="1">
      <alignment horizontal="left" vertical="center" wrapText="1"/>
    </xf>
    <xf numFmtId="0" fontId="26" fillId="4" borderId="0" xfId="0" applyFont="1" applyFill="1" applyBorder="1" applyAlignment="1" applyProtection="1">
      <alignment horizontal="right" vertical="center" wrapText="1"/>
    </xf>
    <xf numFmtId="0" fontId="26" fillId="4" borderId="0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right" vertical="center" wrapText="1"/>
    </xf>
    <xf numFmtId="0" fontId="4" fillId="4" borderId="1" xfId="0" applyFont="1" applyFill="1" applyBorder="1" applyAlignment="1" applyProtection="1">
      <alignment horizontal="center" vertical="center"/>
      <protection locked="0"/>
    </xf>
    <xf numFmtId="1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 applyProtection="1">
      <alignment horizontal="right" vertical="center" wrapText="1"/>
    </xf>
    <xf numFmtId="165" fontId="4" fillId="4" borderId="9" xfId="1" applyNumberFormat="1" applyFont="1" applyFill="1" applyBorder="1" applyAlignment="1" applyProtection="1">
      <alignment horizontal="center" vertical="center"/>
    </xf>
    <xf numFmtId="165" fontId="4" fillId="4" borderId="1" xfId="1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center" wrapText="1"/>
    </xf>
    <xf numFmtId="165" fontId="4" fillId="4" borderId="0" xfId="1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right" vertical="center" wrapText="1"/>
    </xf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 applyProtection="1">
      <alignment horizontal="center" vertical="center" wrapText="1"/>
    </xf>
    <xf numFmtId="0" fontId="26" fillId="4" borderId="0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left" vertical="center" wrapText="1"/>
    </xf>
    <xf numFmtId="0" fontId="4" fillId="4" borderId="3" xfId="0" applyFont="1" applyFill="1" applyBorder="1" applyAlignment="1" applyProtection="1">
      <alignment horizontal="left" vertical="center" wrapText="1"/>
    </xf>
    <xf numFmtId="1" fontId="4" fillId="0" borderId="3" xfId="0" applyNumberFormat="1" applyFont="1" applyFill="1" applyBorder="1" applyAlignment="1" applyProtection="1">
      <alignment horizontal="center" vertical="center"/>
    </xf>
    <xf numFmtId="1" fontId="2" fillId="4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</xf>
    <xf numFmtId="1" fontId="4" fillId="4" borderId="3" xfId="0" applyNumberFormat="1" applyFont="1" applyFill="1" applyBorder="1" applyAlignment="1" applyProtection="1">
      <alignment horizontal="center" vertical="center"/>
    </xf>
    <xf numFmtId="0" fontId="0" fillId="4" borderId="0" xfId="0" applyFill="1"/>
    <xf numFmtId="165" fontId="2" fillId="4" borderId="1" xfId="1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5" fillId="7" borderId="9" xfId="730" applyFont="1" applyFill="1" applyBorder="1" applyAlignment="1" applyProtection="1">
      <alignment horizontal="left" vertical="center" wrapText="1"/>
    </xf>
    <xf numFmtId="0" fontId="25" fillId="7" borderId="3" xfId="730" applyFont="1" applyFill="1" applyBorder="1" applyAlignment="1" applyProtection="1">
      <alignment horizontal="right" vertical="center" wrapText="1"/>
    </xf>
    <xf numFmtId="0" fontId="25" fillId="7" borderId="3" xfId="730" applyFont="1" applyFill="1" applyBorder="1" applyAlignment="1" applyProtection="1">
      <alignment horizontal="left" vertical="center" wrapText="1"/>
    </xf>
    <xf numFmtId="0" fontId="25" fillId="7" borderId="3" xfId="730" applyFont="1" applyFill="1" applyBorder="1" applyAlignment="1" applyProtection="1">
      <alignment horizontal="right" vertical="center"/>
    </xf>
    <xf numFmtId="0" fontId="25" fillId="7" borderId="3" xfId="730" applyFont="1" applyFill="1" applyBorder="1" applyAlignment="1" applyProtection="1">
      <alignment vertical="center" wrapText="1"/>
    </xf>
    <xf numFmtId="0" fontId="25" fillId="7" borderId="4" xfId="730" applyFont="1" applyFill="1" applyBorder="1" applyAlignment="1" applyProtection="1">
      <alignment horizontal="left" vertical="center"/>
    </xf>
    <xf numFmtId="0" fontId="2" fillId="0" borderId="1" xfId="730" applyFont="1" applyFill="1" applyBorder="1" applyAlignment="1" applyProtection="1">
      <alignment vertical="center" wrapText="1"/>
    </xf>
    <xf numFmtId="165" fontId="25" fillId="7" borderId="3" xfId="730" applyNumberFormat="1" applyFont="1" applyFill="1" applyBorder="1" applyAlignment="1" applyProtection="1">
      <alignment vertical="center" wrapText="1"/>
    </xf>
    <xf numFmtId="0" fontId="16" fillId="4" borderId="3" xfId="730" applyFont="1" applyFill="1" applyBorder="1" applyAlignment="1" applyProtection="1">
      <alignment horizontal="center" vertical="center" wrapText="1"/>
    </xf>
    <xf numFmtId="1" fontId="2" fillId="4" borderId="10" xfId="730" applyNumberFormat="1" applyFont="1" applyFill="1" applyBorder="1" applyAlignment="1">
      <alignment horizontal="center" vertical="center"/>
    </xf>
    <xf numFmtId="0" fontId="45" fillId="11" borderId="1" xfId="0" applyFont="1" applyFill="1" applyBorder="1"/>
    <xf numFmtId="0" fontId="45" fillId="11" borderId="1" xfId="0" applyFont="1" applyFill="1" applyBorder="1" applyAlignment="1">
      <alignment horizontal="right"/>
    </xf>
    <xf numFmtId="0" fontId="45" fillId="0" borderId="1" xfId="0" applyFont="1" applyFill="1" applyBorder="1"/>
    <xf numFmtId="0" fontId="0" fillId="0" borderId="1" xfId="0" applyBorder="1" applyAlignment="1">
      <alignment horizontal="center"/>
    </xf>
    <xf numFmtId="0" fontId="2" fillId="4" borderId="1" xfId="0" applyFont="1" applyFill="1" applyBorder="1"/>
    <xf numFmtId="0" fontId="20" fillId="0" borderId="1" xfId="0" applyFont="1" applyBorder="1"/>
    <xf numFmtId="0" fontId="20" fillId="0" borderId="1" xfId="0" applyFont="1" applyBorder="1" applyAlignment="1">
      <alignment wrapText="1"/>
    </xf>
    <xf numFmtId="0" fontId="45" fillId="11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5" fillId="11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48" fillId="0" borderId="29" xfId="0" applyFont="1" applyBorder="1" applyAlignment="1">
      <alignment vertical="center"/>
    </xf>
    <xf numFmtId="0" fontId="48" fillId="0" borderId="30" xfId="0" applyFont="1" applyBorder="1" applyAlignment="1">
      <alignment horizontal="center" vertical="center"/>
    </xf>
    <xf numFmtId="0" fontId="49" fillId="0" borderId="30" xfId="0" applyFont="1" applyBorder="1" applyAlignment="1">
      <alignment vertical="center"/>
    </xf>
    <xf numFmtId="0" fontId="50" fillId="13" borderId="29" xfId="0" applyFont="1" applyFill="1" applyBorder="1" applyAlignment="1">
      <alignment horizontal="center" vertical="center"/>
    </xf>
    <xf numFmtId="0" fontId="50" fillId="13" borderId="30" xfId="0" applyFont="1" applyFill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29" xfId="0" applyFont="1" applyBorder="1" applyAlignment="1">
      <alignment horizontal="right" vertical="center"/>
    </xf>
    <xf numFmtId="0" fontId="49" fillId="14" borderId="30" xfId="0" applyFont="1" applyFill="1" applyBorder="1" applyAlignment="1">
      <alignment vertical="center"/>
    </xf>
    <xf numFmtId="0" fontId="49" fillId="0" borderId="31" xfId="0" applyFont="1" applyBorder="1" applyAlignment="1">
      <alignment horizontal="center" vertical="center"/>
    </xf>
    <xf numFmtId="0" fontId="49" fillId="0" borderId="27" xfId="0" applyFont="1" applyBorder="1" applyAlignment="1">
      <alignment vertical="center"/>
    </xf>
    <xf numFmtId="0" fontId="46" fillId="0" borderId="0" xfId="0" applyFont="1"/>
    <xf numFmtId="0" fontId="49" fillId="0" borderId="29" xfId="0" applyFont="1" applyBorder="1" applyAlignment="1">
      <alignment horizontal="center" vertical="center"/>
    </xf>
    <xf numFmtId="0" fontId="49" fillId="0" borderId="32" xfId="0" applyFont="1" applyBorder="1" applyAlignment="1">
      <alignment vertical="center"/>
    </xf>
    <xf numFmtId="0" fontId="49" fillId="14" borderId="29" xfId="0" applyFont="1" applyFill="1" applyBorder="1" applyAlignment="1">
      <alignment horizontal="right" vertical="center"/>
    </xf>
    <xf numFmtId="0" fontId="49" fillId="0" borderId="29" xfId="0" applyFont="1" applyBorder="1" applyAlignment="1">
      <alignment vertical="center"/>
    </xf>
    <xf numFmtId="0" fontId="51" fillId="13" borderId="29" xfId="0" applyFont="1" applyFill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33" xfId="0" applyFont="1" applyBorder="1" applyAlignment="1">
      <alignment vertical="center"/>
    </xf>
    <xf numFmtId="0" fontId="49" fillId="0" borderId="34" xfId="0" applyFont="1" applyBorder="1" applyAlignment="1">
      <alignment vertical="center" wrapText="1"/>
    </xf>
    <xf numFmtId="0" fontId="49" fillId="0" borderId="30" xfId="0" applyFont="1" applyBorder="1" applyAlignment="1">
      <alignment horizontal="right" vertical="center"/>
    </xf>
    <xf numFmtId="0" fontId="49" fillId="0" borderId="30" xfId="0" applyFont="1" applyBorder="1" applyAlignment="1">
      <alignment vertical="center" wrapText="1"/>
    </xf>
    <xf numFmtId="0" fontId="49" fillId="14" borderId="35" xfId="0" applyFont="1" applyFill="1" applyBorder="1" applyAlignment="1">
      <alignment vertical="center" wrapText="1"/>
    </xf>
    <xf numFmtId="0" fontId="49" fillId="14" borderId="34" xfId="0" applyFont="1" applyFill="1" applyBorder="1" applyAlignment="1">
      <alignment vertical="center" wrapText="1"/>
    </xf>
    <xf numFmtId="0" fontId="50" fillId="15" borderId="29" xfId="0" applyFont="1" applyFill="1" applyBorder="1" applyAlignment="1">
      <alignment vertical="center"/>
    </xf>
    <xf numFmtId="0" fontId="50" fillId="15" borderId="30" xfId="0" applyFont="1" applyFill="1" applyBorder="1" applyAlignment="1">
      <alignment vertical="center"/>
    </xf>
    <xf numFmtId="0" fontId="50" fillId="15" borderId="30" xfId="0" applyFont="1" applyFill="1" applyBorder="1" applyAlignment="1">
      <alignment horizontal="right" vertical="center"/>
    </xf>
    <xf numFmtId="0" fontId="50" fillId="13" borderId="38" xfId="0" applyFont="1" applyFill="1" applyBorder="1" applyAlignment="1">
      <alignment horizontal="center" vertical="center"/>
    </xf>
    <xf numFmtId="0" fontId="50" fillId="13" borderId="37" xfId="0" applyFont="1" applyFill="1" applyBorder="1" applyAlignment="1">
      <alignment horizontal="right" vertical="center"/>
    </xf>
    <xf numFmtId="0" fontId="49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vertical="center"/>
    </xf>
    <xf numFmtId="0" fontId="49" fillId="0" borderId="1" xfId="0" applyFont="1" applyBorder="1" applyAlignment="1">
      <alignment horizontal="right" vertical="center"/>
    </xf>
    <xf numFmtId="0" fontId="49" fillId="14" borderId="1" xfId="0" applyFont="1" applyFill="1" applyBorder="1" applyAlignment="1">
      <alignment vertical="center"/>
    </xf>
    <xf numFmtId="0" fontId="49" fillId="14" borderId="1" xfId="0" applyFont="1" applyFill="1" applyBorder="1" applyAlignment="1">
      <alignment horizontal="right" vertical="center"/>
    </xf>
    <xf numFmtId="0" fontId="49" fillId="0" borderId="1" xfId="0" applyFont="1" applyBorder="1" applyAlignment="1">
      <alignment vertical="center" wrapText="1"/>
    </xf>
    <xf numFmtId="0" fontId="2" fillId="16" borderId="0" xfId="0" applyFont="1" applyFill="1"/>
    <xf numFmtId="0" fontId="47" fillId="4" borderId="0" xfId="0" applyFont="1" applyFill="1" applyBorder="1" applyAlignment="1">
      <alignment horizontal="center" vertical="center"/>
    </xf>
    <xf numFmtId="0" fontId="49" fillId="4" borderId="0" xfId="0" applyFont="1" applyFill="1" applyBorder="1" applyAlignment="1">
      <alignment vertical="center"/>
    </xf>
    <xf numFmtId="0" fontId="50" fillId="4" borderId="0" xfId="0" applyFont="1" applyFill="1" applyBorder="1" applyAlignment="1">
      <alignment horizontal="right" vertical="center"/>
    </xf>
    <xf numFmtId="0" fontId="47" fillId="9" borderId="0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0" borderId="1" xfId="730" applyFont="1" applyFill="1" applyBorder="1" applyAlignment="1" applyProtection="1">
      <alignment horizontal="left" vertical="center"/>
    </xf>
    <xf numFmtId="9" fontId="0" fillId="4" borderId="4" xfId="0" applyNumberFormat="1" applyFill="1" applyBorder="1" applyAlignment="1">
      <alignment horizontal="right" vertical="center"/>
    </xf>
    <xf numFmtId="9" fontId="2" fillId="4" borderId="3" xfId="0" applyNumberFormat="1" applyFont="1" applyFill="1" applyBorder="1" applyAlignment="1">
      <alignment horizontal="center" vertical="center"/>
    </xf>
    <xf numFmtId="9" fontId="0" fillId="4" borderId="9" xfId="0" applyNumberFormat="1" applyFill="1" applyBorder="1" applyAlignment="1">
      <alignment horizontal="left" vertical="center"/>
    </xf>
    <xf numFmtId="9" fontId="0" fillId="4" borderId="6" xfId="0" applyNumberFormat="1" applyFill="1" applyBorder="1" applyAlignment="1">
      <alignment horizontal="right" vertical="center"/>
    </xf>
    <xf numFmtId="9" fontId="2" fillId="4" borderId="6" xfId="0" applyNumberFormat="1" applyFont="1" applyFill="1" applyBorder="1" applyAlignment="1">
      <alignment horizontal="center" vertical="center"/>
    </xf>
    <xf numFmtId="9" fontId="0" fillId="4" borderId="6" xfId="0" applyNumberFormat="1" applyFill="1" applyBorder="1" applyAlignment="1">
      <alignment horizontal="left" vertical="center"/>
    </xf>
    <xf numFmtId="168" fontId="0" fillId="4" borderId="9" xfId="0" applyNumberFormat="1" applyFill="1" applyBorder="1" applyAlignment="1">
      <alignment horizontal="left" vertical="center"/>
    </xf>
    <xf numFmtId="0" fontId="25" fillId="17" borderId="3" xfId="0" applyFont="1" applyFill="1" applyBorder="1" applyAlignment="1" applyProtection="1">
      <alignment horizontal="left" vertical="center" wrapText="1"/>
    </xf>
    <xf numFmtId="9" fontId="0" fillId="4" borderId="3" xfId="0" applyNumberFormat="1" applyFill="1" applyBorder="1" applyAlignment="1">
      <alignment horizontal="right" vertical="center"/>
    </xf>
    <xf numFmtId="9" fontId="0" fillId="4" borderId="3" xfId="0" applyNumberFormat="1" applyFill="1" applyBorder="1" applyAlignment="1">
      <alignment horizontal="left" vertical="center"/>
    </xf>
    <xf numFmtId="9" fontId="2" fillId="4" borderId="4" xfId="0" applyNumberFormat="1" applyFont="1" applyFill="1" applyBorder="1" applyAlignment="1">
      <alignment horizontal="right" vertical="center"/>
    </xf>
    <xf numFmtId="9" fontId="2" fillId="4" borderId="9" xfId="0" applyNumberFormat="1" applyFont="1" applyFill="1" applyBorder="1" applyAlignment="1">
      <alignment horizontal="left" vertical="center"/>
    </xf>
    <xf numFmtId="165" fontId="2" fillId="4" borderId="12" xfId="0" applyNumberFormat="1" applyFont="1" applyFill="1" applyBorder="1" applyAlignment="1">
      <alignment horizontal="right" vertical="center"/>
    </xf>
    <xf numFmtId="9" fontId="0" fillId="4" borderId="12" xfId="0" applyNumberFormat="1" applyFill="1" applyBorder="1" applyAlignment="1">
      <alignment horizontal="right" vertical="center"/>
    </xf>
    <xf numFmtId="9" fontId="0" fillId="4" borderId="5" xfId="0" applyNumberFormat="1" applyFill="1" applyBorder="1" applyAlignment="1">
      <alignment horizontal="right" vertical="center"/>
    </xf>
    <xf numFmtId="9" fontId="4" fillId="4" borderId="0" xfId="1" applyFont="1" applyFill="1" applyBorder="1" applyAlignment="1" applyProtection="1">
      <alignment horizontal="center" vertical="center"/>
    </xf>
    <xf numFmtId="9" fontId="2" fillId="4" borderId="3" xfId="0" applyNumberFormat="1" applyFont="1" applyFill="1" applyBorder="1" applyAlignment="1">
      <alignment horizontal="center" vertical="center" wrapText="1"/>
    </xf>
    <xf numFmtId="0" fontId="11" fillId="4" borderId="0" xfId="0" applyFont="1" applyFill="1" applyBorder="1" applyAlignment="1" applyProtection="1">
      <alignment vertical="center"/>
    </xf>
    <xf numFmtId="0" fontId="2" fillId="4" borderId="0" xfId="730" applyFont="1" applyFill="1" applyAlignment="1" applyProtection="1">
      <alignment vertical="center"/>
      <protection locked="0"/>
    </xf>
    <xf numFmtId="0" fontId="27" fillId="4" borderId="0" xfId="730" applyFont="1" applyFill="1" applyAlignment="1" applyProtection="1">
      <alignment vertical="center"/>
      <protection locked="0"/>
    </xf>
    <xf numFmtId="0" fontId="27" fillId="4" borderId="0" xfId="0" applyFont="1" applyFill="1" applyAlignment="1" applyProtection="1">
      <alignment vertical="center"/>
    </xf>
    <xf numFmtId="0" fontId="53" fillId="7" borderId="4" xfId="0" applyFont="1" applyFill="1" applyBorder="1" applyAlignment="1" applyProtection="1">
      <alignment horizontal="left" vertical="center"/>
    </xf>
    <xf numFmtId="0" fontId="18" fillId="4" borderId="0" xfId="0" applyFont="1" applyFill="1" applyBorder="1" applyAlignment="1" applyProtection="1">
      <alignment vertical="center" wrapText="1"/>
    </xf>
    <xf numFmtId="0" fontId="18" fillId="4" borderId="1" xfId="0" applyFont="1" applyFill="1" applyBorder="1" applyAlignment="1" applyProtection="1">
      <alignment vertical="center" wrapText="1"/>
    </xf>
    <xf numFmtId="165" fontId="25" fillId="7" borderId="3" xfId="0" applyNumberFormat="1" applyFont="1" applyFill="1" applyBorder="1" applyAlignment="1" applyProtection="1">
      <alignment horizontal="left" vertical="center" wrapText="1"/>
    </xf>
    <xf numFmtId="0" fontId="39" fillId="4" borderId="0" xfId="0" applyFont="1" applyFill="1" applyBorder="1" applyAlignment="1" applyProtection="1">
      <alignment vertical="center"/>
    </xf>
    <xf numFmtId="0" fontId="0" fillId="4" borderId="4" xfId="0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0" fontId="25" fillId="4" borderId="0" xfId="0" applyFont="1" applyFill="1" applyBorder="1" applyAlignment="1" applyProtection="1">
      <alignment horizontal="right" vertical="center" wrapText="1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54" fillId="4" borderId="0" xfId="0" applyFont="1" applyFill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14" fillId="4" borderId="0" xfId="0" applyFont="1" applyFill="1" applyBorder="1" applyAlignment="1">
      <alignment horizontal="center" vertical="center"/>
    </xf>
    <xf numFmtId="0" fontId="26" fillId="4" borderId="0" xfId="73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right" vertical="center" wrapText="1"/>
    </xf>
    <xf numFmtId="0" fontId="0" fillId="4" borderId="0" xfId="0" applyFont="1" applyFill="1" applyAlignment="1" applyProtection="1">
      <alignment horizontal="right" vertical="center" wrapText="1"/>
    </xf>
    <xf numFmtId="0" fontId="25" fillId="7" borderId="3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7" fillId="4" borderId="12" xfId="0" applyFont="1" applyFill="1" applyBorder="1" applyAlignment="1" applyProtection="1">
      <alignment horizontal="center" vertical="center" wrapText="1"/>
    </xf>
    <xf numFmtId="0" fontId="27" fillId="4" borderId="6" xfId="0" applyFont="1" applyFill="1" applyBorder="1" applyAlignment="1" applyProtection="1">
      <alignment horizontal="center" vertical="center" wrapText="1"/>
    </xf>
    <xf numFmtId="0" fontId="27" fillId="4" borderId="10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>
      <alignment vertical="center"/>
    </xf>
    <xf numFmtId="0" fontId="11" fillId="4" borderId="6" xfId="0" applyFont="1" applyFill="1" applyBorder="1" applyAlignment="1" applyProtection="1">
      <alignment horizontal="left" vertical="center" wrapText="1"/>
    </xf>
    <xf numFmtId="1" fontId="40" fillId="4" borderId="4" xfId="0" applyNumberFormat="1" applyFont="1" applyFill="1" applyBorder="1" applyAlignment="1" applyProtection="1">
      <alignment horizontal="left" vertical="center" wrapText="1"/>
    </xf>
    <xf numFmtId="1" fontId="40" fillId="4" borderId="3" xfId="0" applyNumberFormat="1" applyFont="1" applyFill="1" applyBorder="1" applyAlignment="1" applyProtection="1">
      <alignment horizontal="left" vertical="center" wrapText="1"/>
    </xf>
    <xf numFmtId="1" fontId="40" fillId="4" borderId="9" xfId="0" applyNumberFormat="1" applyFont="1" applyFill="1" applyBorder="1" applyAlignment="1" applyProtection="1">
      <alignment horizontal="left" vertical="center" wrapText="1"/>
    </xf>
    <xf numFmtId="1" fontId="40" fillId="4" borderId="4" xfId="0" applyNumberFormat="1" applyFont="1" applyFill="1" applyBorder="1" applyAlignment="1" applyProtection="1">
      <alignment horizontal="center" vertical="center" wrapText="1"/>
    </xf>
    <xf numFmtId="1" fontId="40" fillId="4" borderId="3" xfId="0" applyNumberFormat="1" applyFont="1" applyFill="1" applyBorder="1" applyAlignment="1" applyProtection="1">
      <alignment horizontal="center" vertical="center" wrapText="1"/>
    </xf>
    <xf numFmtId="1" fontId="40" fillId="4" borderId="9" xfId="0" applyNumberFormat="1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0" xfId="0" applyFont="1" applyFill="1" applyAlignment="1" applyProtection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0" fontId="25" fillId="4" borderId="11" xfId="0" applyFont="1" applyFill="1" applyBorder="1" applyAlignment="1" applyProtection="1">
      <alignment horizontal="center" wrapText="1"/>
    </xf>
    <xf numFmtId="0" fontId="25" fillId="4" borderId="8" xfId="0" applyFont="1" applyFill="1" applyBorder="1" applyAlignment="1" applyProtection="1">
      <alignment horizontal="center" wrapText="1"/>
    </xf>
    <xf numFmtId="0" fontId="54" fillId="0" borderId="0" xfId="0" applyFont="1" applyFill="1" applyAlignment="1" applyProtection="1">
      <alignment horizontal="left" vertical="center" wrapText="1"/>
    </xf>
    <xf numFmtId="0" fontId="27" fillId="4" borderId="4" xfId="0" applyFont="1" applyFill="1" applyBorder="1" applyAlignment="1" applyProtection="1">
      <alignment horizontal="center" vertical="center" wrapText="1"/>
    </xf>
    <xf numFmtId="0" fontId="27" fillId="4" borderId="3" xfId="0" applyFont="1" applyFill="1" applyBorder="1" applyAlignment="1" applyProtection="1">
      <alignment horizontal="center" vertical="center" wrapText="1"/>
    </xf>
    <xf numFmtId="0" fontId="27" fillId="4" borderId="9" xfId="0" applyFont="1" applyFill="1" applyBorder="1" applyAlignment="1" applyProtection="1">
      <alignment horizontal="center" vertical="center" wrapText="1"/>
    </xf>
    <xf numFmtId="1" fontId="39" fillId="4" borderId="5" xfId="0" applyNumberFormat="1" applyFont="1" applyFill="1" applyBorder="1" applyAlignment="1" applyProtection="1">
      <alignment horizontal="center" vertical="center"/>
    </xf>
    <xf numFmtId="1" fontId="39" fillId="4" borderId="0" xfId="0" applyNumberFormat="1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right" vertical="center" wrapText="1"/>
    </xf>
    <xf numFmtId="1" fontId="5" fillId="8" borderId="19" xfId="0" applyNumberFormat="1" applyFont="1" applyFill="1" applyBorder="1" applyAlignment="1" applyProtection="1">
      <alignment horizontal="center" vertical="center"/>
      <protection hidden="1"/>
    </xf>
    <xf numFmtId="1" fontId="5" fillId="8" borderId="20" xfId="0" applyNumberFormat="1" applyFont="1" applyFill="1" applyBorder="1" applyAlignment="1" applyProtection="1">
      <alignment horizontal="center" vertical="center"/>
      <protection hidden="1"/>
    </xf>
    <xf numFmtId="1" fontId="5" fillId="8" borderId="21" xfId="0" applyNumberFormat="1" applyFont="1" applyFill="1" applyBorder="1" applyAlignment="1" applyProtection="1">
      <alignment horizontal="center" vertical="center"/>
      <protection hidden="1"/>
    </xf>
    <xf numFmtId="0" fontId="26" fillId="4" borderId="0" xfId="73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165" fontId="5" fillId="4" borderId="4" xfId="1" applyNumberFormat="1" applyFont="1" applyFill="1" applyBorder="1" applyAlignment="1" applyProtection="1">
      <alignment horizontal="center" vertical="center"/>
    </xf>
    <xf numFmtId="165" fontId="5" fillId="4" borderId="3" xfId="1" applyNumberFormat="1" applyFont="1" applyFill="1" applyBorder="1" applyAlignment="1" applyProtection="1">
      <alignment horizontal="center" vertical="center"/>
    </xf>
    <xf numFmtId="165" fontId="5" fillId="4" borderId="9" xfId="1" applyNumberFormat="1" applyFont="1" applyFill="1" applyBorder="1" applyAlignment="1" applyProtection="1">
      <alignment horizontal="center" vertical="center"/>
    </xf>
    <xf numFmtId="0" fontId="27" fillId="4" borderId="12" xfId="0" applyFont="1" applyFill="1" applyBorder="1" applyAlignment="1" applyProtection="1">
      <alignment horizontal="center" vertical="center" wrapText="1"/>
    </xf>
    <xf numFmtId="0" fontId="27" fillId="4" borderId="6" xfId="0" applyFont="1" applyFill="1" applyBorder="1" applyAlignment="1" applyProtection="1">
      <alignment horizontal="center" vertical="center" wrapText="1"/>
    </xf>
    <xf numFmtId="0" fontId="27" fillId="4" borderId="10" xfId="0" applyFont="1" applyFill="1" applyBorder="1" applyAlignment="1" applyProtection="1">
      <alignment horizontal="center" vertical="center" wrapText="1"/>
    </xf>
    <xf numFmtId="0" fontId="26" fillId="4" borderId="3" xfId="730" applyFont="1" applyFill="1" applyBorder="1" applyAlignment="1" applyProtection="1">
      <alignment horizontal="center" vertical="center" wrapText="1"/>
    </xf>
    <xf numFmtId="0" fontId="26" fillId="4" borderId="9" xfId="730" applyFont="1" applyFill="1" applyBorder="1" applyAlignment="1" applyProtection="1">
      <alignment horizontal="center" vertical="center" wrapText="1"/>
    </xf>
    <xf numFmtId="1" fontId="27" fillId="4" borderId="4" xfId="0" applyNumberFormat="1" applyFont="1" applyFill="1" applyBorder="1" applyAlignment="1" applyProtection="1">
      <alignment horizontal="center" vertical="center" wrapText="1"/>
    </xf>
    <xf numFmtId="1" fontId="27" fillId="4" borderId="3" xfId="0" applyNumberFormat="1" applyFont="1" applyFill="1" applyBorder="1" applyAlignment="1" applyProtection="1">
      <alignment horizontal="center" vertical="center" wrapText="1"/>
    </xf>
    <xf numFmtId="1" fontId="27" fillId="4" borderId="9" xfId="0" applyNumberFormat="1" applyFont="1" applyFill="1" applyBorder="1" applyAlignment="1" applyProtection="1">
      <alignment horizontal="center" vertical="center" wrapText="1"/>
    </xf>
    <xf numFmtId="0" fontId="22" fillId="6" borderId="7" xfId="0" applyFont="1" applyFill="1" applyBorder="1" applyAlignment="1" applyProtection="1">
      <alignment horizontal="center" vertical="center" wrapText="1"/>
    </xf>
    <xf numFmtId="0" fontId="22" fillId="6" borderId="0" xfId="0" applyFont="1" applyFill="1" applyBorder="1" applyAlignment="1" applyProtection="1">
      <alignment horizontal="center" vertical="center" wrapText="1"/>
    </xf>
    <xf numFmtId="0" fontId="31" fillId="5" borderId="7" xfId="0" applyFont="1" applyFill="1" applyBorder="1" applyAlignment="1" applyProtection="1">
      <alignment horizontal="center" vertical="center" wrapText="1"/>
    </xf>
    <xf numFmtId="0" fontId="31" fillId="5" borderId="0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165" fontId="4" fillId="2" borderId="11" xfId="1" applyNumberFormat="1" applyFont="1" applyFill="1" applyBorder="1" applyAlignment="1" applyProtection="1">
      <alignment horizontal="center" vertical="center"/>
      <protection locked="0"/>
    </xf>
    <xf numFmtId="165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right" vertical="center" wrapText="1"/>
    </xf>
    <xf numFmtId="0" fontId="0" fillId="4" borderId="0" xfId="0" applyFont="1" applyFill="1" applyAlignment="1" applyProtection="1">
      <alignment horizontal="right" vertical="center" wrapText="1"/>
    </xf>
    <xf numFmtId="1" fontId="8" fillId="8" borderId="19" xfId="0" applyNumberFormat="1" applyFont="1" applyFill="1" applyBorder="1" applyAlignment="1" applyProtection="1">
      <alignment horizontal="center" vertical="center"/>
      <protection hidden="1"/>
    </xf>
    <xf numFmtId="1" fontId="8" fillId="8" borderId="20" xfId="0" applyNumberFormat="1" applyFont="1" applyFill="1" applyBorder="1" applyAlignment="1" applyProtection="1">
      <alignment horizontal="center" vertical="center"/>
      <protection hidden="1"/>
    </xf>
    <xf numFmtId="1" fontId="8" fillId="8" borderId="21" xfId="0" applyNumberFormat="1" applyFont="1" applyFill="1" applyBorder="1" applyAlignment="1" applyProtection="1">
      <alignment horizontal="center" vertical="center"/>
      <protection hidden="1"/>
    </xf>
    <xf numFmtId="0" fontId="25" fillId="7" borderId="4" xfId="0" applyFont="1" applyFill="1" applyBorder="1" applyAlignment="1" applyProtection="1">
      <alignment horizontal="left" vertical="center" wrapText="1"/>
    </xf>
    <xf numFmtId="0" fontId="25" fillId="7" borderId="3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18" fillId="4" borderId="4" xfId="730" applyFont="1" applyFill="1" applyBorder="1" applyAlignment="1" applyProtection="1">
      <alignment horizontal="left" vertical="center" wrapText="1"/>
    </xf>
    <xf numFmtId="0" fontId="18" fillId="4" borderId="3" xfId="73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/>
    </xf>
    <xf numFmtId="0" fontId="11" fillId="4" borderId="17" xfId="0" applyFont="1" applyFill="1" applyBorder="1" applyAlignment="1" applyProtection="1">
      <alignment horizontal="left" vertical="center"/>
    </xf>
    <xf numFmtId="0" fontId="11" fillId="4" borderId="22" xfId="0" applyFont="1" applyFill="1" applyBorder="1" applyAlignment="1" applyProtection="1">
      <alignment horizontal="left" vertical="center"/>
    </xf>
    <xf numFmtId="1" fontId="39" fillId="4" borderId="12" xfId="0" applyNumberFormat="1" applyFont="1" applyFill="1" applyBorder="1" applyAlignment="1" applyProtection="1">
      <alignment horizontal="center" vertical="center"/>
    </xf>
    <xf numFmtId="1" fontId="39" fillId="4" borderId="6" xfId="0" applyNumberFormat="1" applyFont="1" applyFill="1" applyBorder="1" applyAlignment="1" applyProtection="1">
      <alignment horizontal="center" vertical="center"/>
    </xf>
    <xf numFmtId="9" fontId="4" fillId="2" borderId="11" xfId="1" applyNumberFormat="1" applyFont="1" applyFill="1" applyBorder="1" applyAlignment="1" applyProtection="1">
      <alignment horizontal="center" vertical="center"/>
      <protection locked="0"/>
    </xf>
    <xf numFmtId="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26" fillId="4" borderId="12" xfId="0" applyFont="1" applyFill="1" applyBorder="1" applyAlignment="1" applyProtection="1">
      <alignment horizontal="center" vertical="center" wrapText="1"/>
    </xf>
    <xf numFmtId="0" fontId="26" fillId="4" borderId="6" xfId="0" applyFont="1" applyFill="1" applyBorder="1" applyAlignment="1" applyProtection="1">
      <alignment horizontal="center" vertical="center" wrapText="1"/>
    </xf>
    <xf numFmtId="0" fontId="26" fillId="4" borderId="10" xfId="0" applyFont="1" applyFill="1" applyBorder="1" applyAlignment="1" applyProtection="1">
      <alignment horizontal="center" vertical="center" wrapText="1"/>
    </xf>
    <xf numFmtId="0" fontId="26" fillId="4" borderId="14" xfId="0" applyFont="1" applyFill="1" applyBorder="1" applyAlignment="1" applyProtection="1">
      <alignment horizontal="center" vertical="center" wrapText="1"/>
    </xf>
    <xf numFmtId="0" fontId="26" fillId="4" borderId="2" xfId="0" applyFont="1" applyFill="1" applyBorder="1" applyAlignment="1" applyProtection="1">
      <alignment horizontal="center" vertical="center" wrapText="1"/>
    </xf>
    <xf numFmtId="0" fontId="26" fillId="4" borderId="1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50" fillId="13" borderId="27" xfId="0" applyFont="1" applyFill="1" applyBorder="1" applyAlignment="1">
      <alignment horizontal="left" vertical="center" indent="1"/>
    </xf>
    <xf numFmtId="0" fontId="50" fillId="13" borderId="34" xfId="0" applyFont="1" applyFill="1" applyBorder="1" applyAlignment="1">
      <alignment horizontal="left" vertical="center" indent="1"/>
    </xf>
    <xf numFmtId="0" fontId="45" fillId="5" borderId="4" xfId="0" applyFont="1" applyFill="1" applyBorder="1" applyAlignment="1">
      <alignment horizontal="center"/>
    </xf>
    <xf numFmtId="0" fontId="45" fillId="5" borderId="3" xfId="0" applyFont="1" applyFill="1" applyBorder="1" applyAlignment="1">
      <alignment horizontal="center"/>
    </xf>
    <xf numFmtId="0" fontId="45" fillId="5" borderId="9" xfId="0" applyFont="1" applyFill="1" applyBorder="1" applyAlignment="1">
      <alignment horizontal="center"/>
    </xf>
    <xf numFmtId="0" fontId="47" fillId="12" borderId="26" xfId="0" applyFont="1" applyFill="1" applyBorder="1" applyAlignment="1">
      <alignment horizontal="center" vertical="center"/>
    </xf>
    <xf numFmtId="0" fontId="47" fillId="12" borderId="27" xfId="0" applyFont="1" applyFill="1" applyBorder="1" applyAlignment="1">
      <alignment horizontal="center" vertical="center"/>
    </xf>
    <xf numFmtId="0" fontId="47" fillId="12" borderId="28" xfId="0" applyFont="1" applyFill="1" applyBorder="1" applyAlignment="1">
      <alignment horizontal="center" vertical="center"/>
    </xf>
    <xf numFmtId="0" fontId="50" fillId="13" borderId="36" xfId="0" applyFont="1" applyFill="1" applyBorder="1" applyAlignment="1">
      <alignment horizontal="left" vertical="center" indent="1"/>
    </xf>
    <xf numFmtId="0" fontId="50" fillId="13" borderId="35" xfId="0" applyFont="1" applyFill="1" applyBorder="1" applyAlignment="1">
      <alignment horizontal="left" vertical="center" indent="1"/>
    </xf>
    <xf numFmtId="0" fontId="50" fillId="13" borderId="0" xfId="0" applyFont="1" applyFill="1" applyAlignment="1">
      <alignment horizontal="left" vertical="center" indent="1"/>
    </xf>
    <xf numFmtId="0" fontId="50" fillId="13" borderId="37" xfId="0" applyFont="1" applyFill="1" applyBorder="1" applyAlignment="1">
      <alignment horizontal="left" vertical="center" indent="1"/>
    </xf>
    <xf numFmtId="0" fontId="50" fillId="13" borderId="26" xfId="0" applyFont="1" applyFill="1" applyBorder="1" applyAlignment="1">
      <alignment horizontal="left" vertical="center" indent="1"/>
    </xf>
    <xf numFmtId="9" fontId="55" fillId="0" borderId="1" xfId="1" applyNumberFormat="1" applyFont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9" xfId="0" applyFont="1" applyFill="1" applyBorder="1" applyAlignment="1" applyProtection="1">
      <alignment vertical="center"/>
    </xf>
  </cellXfs>
  <cellStyles count="749">
    <cellStyle name="Comma 2" xfId="348" xr:uid="{00000000-0005-0000-0000-000000000000}"/>
    <cellStyle name="Currency" xfId="665" builtinId="4"/>
    <cellStyle name="Followed Hyperlink" xfId="215" builtinId="9" hidden="1"/>
    <cellStyle name="Followed Hyperlink" xfId="55" builtinId="9" hidden="1"/>
    <cellStyle name="Followed Hyperlink" xfId="534" builtinId="9" hidden="1"/>
    <cellStyle name="Followed Hyperlink" xfId="667" builtinId="9" hidden="1"/>
    <cellStyle name="Followed Hyperlink" xfId="41" builtinId="9" hidden="1"/>
    <cellStyle name="Followed Hyperlink" xfId="594" builtinId="9" hidden="1"/>
    <cellStyle name="Followed Hyperlink" xfId="578" builtinId="9" hidden="1"/>
    <cellStyle name="Followed Hyperlink" xfId="420" builtinId="9" hidden="1"/>
    <cellStyle name="Followed Hyperlink" xfId="364" builtinId="9" hidden="1"/>
    <cellStyle name="Followed Hyperlink" xfId="161" builtinId="9" hidden="1"/>
    <cellStyle name="Followed Hyperlink" xfId="426" builtinId="9" hidden="1"/>
    <cellStyle name="Followed Hyperlink" xfId="271" builtinId="9" hidden="1"/>
    <cellStyle name="Followed Hyperlink" xfId="305" builtinId="9" hidden="1"/>
    <cellStyle name="Followed Hyperlink" xfId="333" builtinId="9" hidden="1"/>
    <cellStyle name="Followed Hyperlink" xfId="225" builtinId="9" hidden="1"/>
    <cellStyle name="Followed Hyperlink" xfId="11" builtinId="9" hidden="1"/>
    <cellStyle name="Followed Hyperlink" xfId="506" builtinId="9" hidden="1"/>
    <cellStyle name="Followed Hyperlink" xfId="729" builtinId="9" hidden="1"/>
    <cellStyle name="Followed Hyperlink" xfId="287" builtinId="9" hidden="1"/>
    <cellStyle name="Followed Hyperlink" xfId="149" builtinId="9" hidden="1"/>
    <cellStyle name="Followed Hyperlink" xfId="303" builtinId="9" hidden="1"/>
    <cellStyle name="Followed Hyperlink" xfId="153" builtinId="9" hidden="1"/>
    <cellStyle name="Followed Hyperlink" xfId="370" builtinId="9" hidden="1"/>
    <cellStyle name="Followed Hyperlink" xfId="400" builtinId="9" hidden="1"/>
    <cellStyle name="Followed Hyperlink" xfId="37" builtinId="9" hidden="1"/>
    <cellStyle name="Followed Hyperlink" xfId="574" builtinId="9" hidden="1"/>
    <cellStyle name="Followed Hyperlink" xfId="410" builtinId="9" hidden="1"/>
    <cellStyle name="Followed Hyperlink" xfId="159" builtinId="9" hidden="1"/>
    <cellStyle name="Followed Hyperlink" xfId="137" builtinId="9" hidden="1"/>
    <cellStyle name="Followed Hyperlink" xfId="669" builtinId="9" hidden="1"/>
    <cellStyle name="Followed Hyperlink" xfId="107" builtinId="9" hidden="1"/>
    <cellStyle name="Followed Hyperlink" xfId="620" builtinId="9" hidden="1"/>
    <cellStyle name="Followed Hyperlink" xfId="520" builtinId="9" hidden="1"/>
    <cellStyle name="Followed Hyperlink" xfId="482" builtinId="9" hidden="1"/>
    <cellStyle name="Followed Hyperlink" xfId="498" builtinId="9" hidden="1"/>
    <cellStyle name="Followed Hyperlink" xfId="123" builtinId="9" hidden="1"/>
    <cellStyle name="Followed Hyperlink" xfId="175" builtinId="9" hidden="1"/>
    <cellStyle name="Followed Hyperlink" xfId="474" builtinId="9" hidden="1"/>
    <cellStyle name="Followed Hyperlink" xfId="360" builtinId="9" hidden="1"/>
    <cellStyle name="Followed Hyperlink" xfId="115" builtinId="9" hidden="1"/>
    <cellStyle name="Followed Hyperlink" xfId="93" builtinId="9" hidden="1"/>
    <cellStyle name="Followed Hyperlink" xfId="83" builtinId="9" hidden="1"/>
    <cellStyle name="Followed Hyperlink" xfId="147" builtinId="9" hidden="1"/>
    <cellStyle name="Followed Hyperlink" xfId="536" builtinId="9" hidden="1"/>
    <cellStyle name="Followed Hyperlink" xfId="237" builtinId="9" hidden="1"/>
    <cellStyle name="Followed Hyperlink" xfId="466" builtinId="9" hidden="1"/>
    <cellStyle name="Followed Hyperlink" xfId="269" builtinId="9" hidden="1"/>
    <cellStyle name="Followed Hyperlink" xfId="217" builtinId="9" hidden="1"/>
    <cellStyle name="Followed Hyperlink" xfId="588" builtinId="9" hidden="1"/>
    <cellStyle name="Followed Hyperlink" xfId="45" builtinId="9" hidden="1"/>
    <cellStyle name="Followed Hyperlink" xfId="701" builtinId="9" hidden="1"/>
    <cellStyle name="Followed Hyperlink" xfId="634" builtinId="9" hidden="1"/>
    <cellStyle name="Followed Hyperlink" xfId="390" builtinId="9" hidden="1"/>
    <cellStyle name="Followed Hyperlink" xfId="472" builtinId="9" hidden="1"/>
    <cellStyle name="Followed Hyperlink" xfId="576" builtinId="9" hidden="1"/>
    <cellStyle name="Followed Hyperlink" xfId="335" builtinId="9" hidden="1"/>
    <cellStyle name="Followed Hyperlink" xfId="610" builtinId="9" hidden="1"/>
    <cellStyle name="Followed Hyperlink" xfId="713" builtinId="9" hidden="1"/>
    <cellStyle name="Followed Hyperlink" xfId="679" builtinId="9" hidden="1"/>
    <cellStyle name="Followed Hyperlink" xfId="183" builtinId="9" hidden="1"/>
    <cellStyle name="Followed Hyperlink" xfId="736" builtinId="9" hidden="1"/>
    <cellStyle name="Followed Hyperlink" xfId="79" builtinId="9" hidden="1"/>
    <cellStyle name="Followed Hyperlink" xfId="518" builtinId="9" hidden="1"/>
    <cellStyle name="Followed Hyperlink" xfId="452" builtinId="9" hidden="1"/>
    <cellStyle name="Followed Hyperlink" xfId="87" builtinId="9" hidden="1"/>
    <cellStyle name="Followed Hyperlink" xfId="490" builtinId="9" hidden="1"/>
    <cellStyle name="Followed Hyperlink" xfId="416" builtinId="9" hidden="1"/>
    <cellStyle name="Followed Hyperlink" xfId="744" builtinId="9" hidden="1"/>
    <cellStyle name="Followed Hyperlink" xfId="17" builtinId="9" hidden="1"/>
    <cellStyle name="Followed Hyperlink" xfId="197" builtinId="9" hidden="1"/>
    <cellStyle name="Followed Hyperlink" xfId="642" builtinId="9" hidden="1"/>
    <cellStyle name="Followed Hyperlink" xfId="616" builtinId="9" hidden="1"/>
    <cellStyle name="Followed Hyperlink" xfId="366" builtinId="9" hidden="1"/>
    <cellStyle name="Followed Hyperlink" xfId="695" builtinId="9" hidden="1"/>
    <cellStyle name="Followed Hyperlink" xfId="675" builtinId="9" hidden="1"/>
    <cellStyle name="Followed Hyperlink" xfId="732" builtinId="9" hidden="1"/>
    <cellStyle name="Followed Hyperlink" xfId="374" builtinId="9" hidden="1"/>
    <cellStyle name="Followed Hyperlink" xfId="508" builtinId="9" hidden="1"/>
    <cellStyle name="Followed Hyperlink" xfId="689" builtinId="9" hidden="1"/>
    <cellStyle name="Followed Hyperlink" xfId="201" builtinId="9" hidden="1"/>
    <cellStyle name="Followed Hyperlink" xfId="628" builtinId="9" hidden="1"/>
    <cellStyle name="Followed Hyperlink" xfId="510" builtinId="9" hidden="1"/>
    <cellStyle name="Followed Hyperlink" xfId="139" builtinId="9" hidden="1"/>
    <cellStyle name="Followed Hyperlink" xfId="528" builtinId="9" hidden="1"/>
    <cellStyle name="Followed Hyperlink" xfId="277" builtinId="9" hidden="1"/>
    <cellStyle name="Followed Hyperlink" xfId="323" builtinId="9" hidden="1"/>
    <cellStyle name="Followed Hyperlink" xfId="608" builtinId="9" hidden="1"/>
    <cellStyle name="Followed Hyperlink" xfId="13" builtinId="9" hidden="1"/>
    <cellStyle name="Followed Hyperlink" xfId="386" builtinId="9" hidden="1"/>
    <cellStyle name="Followed Hyperlink" xfId="526" builtinId="9" hidden="1"/>
    <cellStyle name="Followed Hyperlink" xfId="339" builtinId="9" hidden="1"/>
    <cellStyle name="Followed Hyperlink" xfId="65" builtinId="9" hidden="1"/>
    <cellStyle name="Followed Hyperlink" xfId="89" builtinId="9" hidden="1"/>
    <cellStyle name="Followed Hyperlink" xfId="664" builtinId="9" hidden="1"/>
    <cellStyle name="Followed Hyperlink" xfId="279" builtinId="9" hidden="1"/>
    <cellStyle name="Followed Hyperlink" xfId="31" builtinId="9" hidden="1"/>
    <cellStyle name="Followed Hyperlink" xfId="185" builtinId="9" hidden="1"/>
    <cellStyle name="Followed Hyperlink" xfId="125" builtinId="9" hidden="1"/>
    <cellStyle name="Followed Hyperlink" xfId="388" builtinId="9" hidden="1"/>
    <cellStyle name="Followed Hyperlink" xfId="384" builtinId="9" hidden="1"/>
    <cellStyle name="Followed Hyperlink" xfId="464" builtinId="9" hidden="1"/>
    <cellStyle name="Followed Hyperlink" xfId="402" builtinId="9" hidden="1"/>
    <cellStyle name="Followed Hyperlink" xfId="432" builtinId="9" hidden="1"/>
    <cellStyle name="Followed Hyperlink" xfId="430" builtinId="9" hidden="1"/>
    <cellStyle name="Followed Hyperlink" xfId="311" builtinId="9" hidden="1"/>
    <cellStyle name="Followed Hyperlink" xfId="548" builtinId="9" hidden="1"/>
    <cellStyle name="Followed Hyperlink" xfId="418" builtinId="9" hidden="1"/>
    <cellStyle name="Followed Hyperlink" xfId="590" builtinId="9" hidden="1"/>
    <cellStyle name="Followed Hyperlink" xfId="480" builtinId="9" hidden="1"/>
    <cellStyle name="Followed Hyperlink" xfId="673" builtinId="9" hidden="1"/>
    <cellStyle name="Followed Hyperlink" xfId="709" builtinId="9" hidden="1"/>
    <cellStyle name="Followed Hyperlink" xfId="187" builtinId="9" hidden="1"/>
    <cellStyle name="Followed Hyperlink" xfId="295" builtinId="9" hidden="1"/>
    <cellStyle name="Followed Hyperlink" xfId="131" builtinId="9" hidden="1"/>
    <cellStyle name="Followed Hyperlink" xfId="251" builtinId="9" hidden="1"/>
    <cellStyle name="Followed Hyperlink" xfId="540" builtinId="9" hidden="1"/>
    <cellStyle name="Followed Hyperlink" xfId="231" builtinId="9" hidden="1"/>
    <cellStyle name="Followed Hyperlink" xfId="293" builtinId="9" hidden="1"/>
    <cellStyle name="Followed Hyperlink" xfId="362" builtinId="9" hidden="1"/>
    <cellStyle name="Followed Hyperlink" xfId="456" builtinId="9" hidden="1"/>
    <cellStyle name="Followed Hyperlink" xfId="356" builtinId="9" hidden="1"/>
    <cellStyle name="Followed Hyperlink" xfId="235" builtinId="9" hidden="1"/>
    <cellStyle name="Followed Hyperlink" xfId="542" builtinId="9" hidden="1"/>
    <cellStyle name="Followed Hyperlink" xfId="394" builtinId="9" hidden="1"/>
    <cellStyle name="Followed Hyperlink" xfId="496" builtinId="9" hidden="1"/>
    <cellStyle name="Followed Hyperlink" xfId="580" builtinId="9" hidden="1"/>
    <cellStyle name="Followed Hyperlink" xfId="606" builtinId="9" hidden="1"/>
    <cellStyle name="Followed Hyperlink" xfId="562" builtinId="9" hidden="1"/>
    <cellStyle name="Followed Hyperlink" xfId="502" builtinId="9" hidden="1"/>
    <cellStyle name="Followed Hyperlink" xfId="671" builtinId="9" hidden="1"/>
    <cellStyle name="Followed Hyperlink" xfId="249" builtinId="9" hidden="1"/>
    <cellStyle name="Followed Hyperlink" xfId="687" builtinId="9" hidden="1"/>
    <cellStyle name="Followed Hyperlink" xfId="155" builtinId="9" hidden="1"/>
    <cellStyle name="Followed Hyperlink" xfId="494" builtinId="9" hidden="1"/>
    <cellStyle name="Followed Hyperlink" xfId="51" builtinId="9" hidden="1"/>
    <cellStyle name="Followed Hyperlink" xfId="291" builtinId="9" hidden="1"/>
    <cellStyle name="Followed Hyperlink" xfId="157" builtinId="9" hidden="1"/>
    <cellStyle name="Followed Hyperlink" xfId="598" builtinId="9" hidden="1"/>
    <cellStyle name="Followed Hyperlink" xfId="648" builtinId="9" hidden="1"/>
    <cellStyle name="Followed Hyperlink" xfId="602" builtinId="9" hidden="1"/>
    <cellStyle name="Followed Hyperlink" xfId="484" builtinId="9" hidden="1"/>
    <cellStyle name="Followed Hyperlink" xfId="556" builtinId="9" hidden="1"/>
    <cellStyle name="Followed Hyperlink" xfId="273" builtinId="9" hidden="1"/>
    <cellStyle name="Followed Hyperlink" xfId="73" builtinId="9" hidden="1"/>
    <cellStyle name="Followed Hyperlink" xfId="740" builtinId="9" hidden="1"/>
    <cellStyle name="Followed Hyperlink" xfId="145" builtinId="9" hidden="1"/>
    <cellStyle name="Followed Hyperlink" xfId="205" builtinId="9" hidden="1"/>
    <cellStyle name="Followed Hyperlink" xfId="325" builtinId="9" hidden="1"/>
    <cellStyle name="Followed Hyperlink" xfId="67" builtinId="9" hidden="1"/>
    <cellStyle name="Followed Hyperlink" xfId="742" builtinId="9" hidden="1"/>
    <cellStyle name="Followed Hyperlink" xfId="69" builtinId="9" hidden="1"/>
    <cellStyle name="Followed Hyperlink" xfId="71" builtinId="9" hidden="1"/>
    <cellStyle name="Followed Hyperlink" xfId="434" builtinId="9" hidden="1"/>
    <cellStyle name="Followed Hyperlink" xfId="352" builtinId="9" hidden="1"/>
    <cellStyle name="Followed Hyperlink" xfId="23" builtinId="9" hidden="1"/>
    <cellStyle name="Followed Hyperlink" xfId="27" builtinId="9" hidden="1"/>
    <cellStyle name="Followed Hyperlink" xfId="223" builtinId="9" hidden="1"/>
    <cellStyle name="Followed Hyperlink" xfId="53" builtinId="9" hidden="1"/>
    <cellStyle name="Followed Hyperlink" xfId="392" builtinId="9" hidden="1"/>
    <cellStyle name="Followed Hyperlink" xfId="512" builtinId="9" hidden="1"/>
    <cellStyle name="Followed Hyperlink" xfId="524" builtinId="9" hidden="1"/>
    <cellStyle name="Followed Hyperlink" xfId="396" builtinId="9" hidden="1"/>
    <cellStyle name="Followed Hyperlink" xfId="239" builtinId="9" hidden="1"/>
    <cellStyle name="Followed Hyperlink" xfId="95" builtinId="9" hidden="1"/>
    <cellStyle name="Followed Hyperlink" xfId="448" builtinId="9" hidden="1"/>
    <cellStyle name="Followed Hyperlink" xfId="57" builtinId="9" hidden="1"/>
    <cellStyle name="Followed Hyperlink" xfId="596" builtinId="9" hidden="1"/>
    <cellStyle name="Followed Hyperlink" xfId="317" builtinId="9" hidden="1"/>
    <cellStyle name="Followed Hyperlink" xfId="5" builtinId="9" hidden="1"/>
    <cellStyle name="Followed Hyperlink" xfId="117" builtinId="9" hidden="1"/>
    <cellStyle name="Followed Hyperlink" xfId="99" builtinId="9" hidden="1"/>
    <cellStyle name="Followed Hyperlink" xfId="398" builtinId="9" hidden="1"/>
    <cellStyle name="Followed Hyperlink" xfId="462" builtinId="9" hidden="1"/>
    <cellStyle name="Followed Hyperlink" xfId="368" builtinId="9" hidden="1"/>
    <cellStyle name="Followed Hyperlink" xfId="141" builtinId="9" hidden="1"/>
    <cellStyle name="Followed Hyperlink" xfId="586" builtinId="9" hidden="1"/>
    <cellStyle name="Followed Hyperlink" xfId="193" builtinId="9" hidden="1"/>
    <cellStyle name="Followed Hyperlink" xfId="734" builtinId="9" hidden="1"/>
    <cellStyle name="Followed Hyperlink" xfId="697" builtinId="9" hidden="1"/>
    <cellStyle name="Followed Hyperlink" xfId="354" builtinId="9" hidden="1"/>
    <cellStyle name="Followed Hyperlink" xfId="43" builtinId="9" hidden="1"/>
    <cellStyle name="Followed Hyperlink" xfId="285" builtinId="9" hidden="1"/>
    <cellStyle name="Followed Hyperlink" xfId="77" builtinId="9" hidden="1"/>
    <cellStyle name="Followed Hyperlink" xfId="414" builtinId="9" hidden="1"/>
    <cellStyle name="Followed Hyperlink" xfId="19" builtinId="9" hidden="1"/>
    <cellStyle name="Followed Hyperlink" xfId="723" builtinId="9" hidden="1"/>
    <cellStyle name="Followed Hyperlink" xfId="681" builtinId="9" hidden="1"/>
    <cellStyle name="Followed Hyperlink" xfId="189" builtinId="9" hidden="1"/>
    <cellStyle name="Followed Hyperlink" xfId="412" builtinId="9" hidden="1"/>
    <cellStyle name="Followed Hyperlink" xfId="109" builtinId="9" hidden="1"/>
    <cellStyle name="Followed Hyperlink" xfId="35" builtinId="9" hidden="1"/>
    <cellStyle name="Followed Hyperlink" xfId="707" builtinId="9" hidden="1"/>
    <cellStyle name="Followed Hyperlink" xfId="470" builtinId="9" hidden="1"/>
    <cellStyle name="Followed Hyperlink" xfId="544" builtinId="9" hidden="1"/>
    <cellStyle name="Followed Hyperlink" xfId="169" builtinId="9" hidden="1"/>
    <cellStyle name="Followed Hyperlink" xfId="133" builtinId="9" hidden="1"/>
    <cellStyle name="Followed Hyperlink" xfId="408" builtinId="9" hidden="1"/>
    <cellStyle name="Followed Hyperlink" xfId="191" builtinId="9" hidden="1"/>
    <cellStyle name="Followed Hyperlink" xfId="343" builtinId="9" hidden="1"/>
    <cellStyle name="Followed Hyperlink" xfId="321" builtinId="9" hidden="1"/>
    <cellStyle name="Followed Hyperlink" xfId="372" builtinId="9" hidden="1"/>
    <cellStyle name="Followed Hyperlink" xfId="227" builtinId="9" hidden="1"/>
    <cellStyle name="Followed Hyperlink" xfId="622" builtinId="9" hidden="1"/>
    <cellStyle name="Followed Hyperlink" xfId="582" builtinId="9" hidden="1"/>
    <cellStyle name="Followed Hyperlink" xfId="715" builtinId="9" hidden="1"/>
    <cellStyle name="Followed Hyperlink" xfId="492" builtinId="9" hidden="1"/>
    <cellStyle name="Followed Hyperlink" xfId="209" builtinId="9" hidden="1"/>
    <cellStyle name="Followed Hyperlink" xfId="49" builtinId="9" hidden="1"/>
    <cellStyle name="Followed Hyperlink" xfId="91" builtinId="9" hidden="1"/>
    <cellStyle name="Followed Hyperlink" xfId="558" builtinId="9" hidden="1"/>
    <cellStyle name="Followed Hyperlink" xfId="656" builtinId="9" hidden="1"/>
    <cellStyle name="Followed Hyperlink" xfId="101" builtinId="9" hidden="1"/>
    <cellStyle name="Followed Hyperlink" xfId="376" builtinId="9" hidden="1"/>
    <cellStyle name="Followed Hyperlink" xfId="241" builtinId="9" hidden="1"/>
    <cellStyle name="Followed Hyperlink" xfId="746" builtinId="9" hidden="1"/>
    <cellStyle name="Followed Hyperlink" xfId="307" builtinId="9" hidden="1"/>
    <cellStyle name="Followed Hyperlink" xfId="195" builtinId="9" hidden="1"/>
    <cellStyle name="Followed Hyperlink" xfId="727" builtinId="9" hidden="1"/>
    <cellStyle name="Followed Hyperlink" xfId="243" builtinId="9" hidden="1"/>
    <cellStyle name="Followed Hyperlink" xfId="630" builtinId="9" hidden="1"/>
    <cellStyle name="Followed Hyperlink" xfId="97" builtinId="9" hidden="1"/>
    <cellStyle name="Followed Hyperlink" xfId="39" builtinId="9" hidden="1"/>
    <cellStyle name="Followed Hyperlink" xfId="626" builtinId="9" hidden="1"/>
    <cellStyle name="Followed Hyperlink" xfId="275" builtinId="9" hidden="1"/>
    <cellStyle name="Followed Hyperlink" xfId="127" builtinId="9" hidden="1"/>
    <cellStyle name="Followed Hyperlink" xfId="289" builtinId="9" hidden="1"/>
    <cellStyle name="Followed Hyperlink" xfId="438" builtinId="9" hidden="1"/>
    <cellStyle name="Followed Hyperlink" xfId="584" builtinId="9" hidden="1"/>
    <cellStyle name="Followed Hyperlink" xfId="315" builtinId="9" hidden="1"/>
    <cellStyle name="Followed Hyperlink" xfId="297" builtinId="9" hidden="1"/>
    <cellStyle name="Followed Hyperlink" xfId="652" builtinId="9" hidden="1"/>
    <cellStyle name="Followed Hyperlink" xfId="572" builtinId="9" hidden="1"/>
    <cellStyle name="Followed Hyperlink" xfId="660" builtinId="9" hidden="1"/>
    <cellStyle name="Followed Hyperlink" xfId="177" builtinId="9" hidden="1"/>
    <cellStyle name="Followed Hyperlink" xfId="500" builtinId="9" hidden="1"/>
    <cellStyle name="Followed Hyperlink" xfId="476" builtinId="9" hidden="1"/>
    <cellStyle name="Followed Hyperlink" xfId="624" builtinId="9" hidden="1"/>
    <cellStyle name="Followed Hyperlink" xfId="428" builtinId="9" hidden="1"/>
    <cellStyle name="Followed Hyperlink" xfId="564" builtinId="9" hidden="1"/>
    <cellStyle name="Followed Hyperlink" xfId="422" builtinId="9" hidden="1"/>
    <cellStyle name="Followed Hyperlink" xfId="568" builtinId="9" hidden="1"/>
    <cellStyle name="Followed Hyperlink" xfId="105" builtinId="9" hidden="1"/>
    <cellStyle name="Followed Hyperlink" xfId="691" builtinId="9" hidden="1"/>
    <cellStyle name="Followed Hyperlink" xfId="281" builtinId="9" hidden="1"/>
    <cellStyle name="Followed Hyperlink" xfId="329" builtinId="9" hidden="1"/>
    <cellStyle name="Followed Hyperlink" xfId="121" builtinId="9" hidden="1"/>
    <cellStyle name="Followed Hyperlink" xfId="592" builtinId="9" hidden="1"/>
    <cellStyle name="Followed Hyperlink" xfId="662" builtinId="9" hidden="1"/>
    <cellStyle name="Followed Hyperlink" xfId="245" builtinId="9" hidden="1"/>
    <cellStyle name="Followed Hyperlink" xfId="699" builtinId="9" hidden="1"/>
    <cellStyle name="Followed Hyperlink" xfId="468" builtinId="9" hidden="1"/>
    <cellStyle name="Followed Hyperlink" xfId="257" builtinId="9" hidden="1"/>
    <cellStyle name="Followed Hyperlink" xfId="81" builtinId="9" hidden="1"/>
    <cellStyle name="Followed Hyperlink" xfId="552" builtinId="9" hidden="1"/>
    <cellStyle name="Followed Hyperlink" xfId="63" builtinId="9" hidden="1"/>
    <cellStyle name="Followed Hyperlink" xfId="646" builtinId="9" hidden="1"/>
    <cellStyle name="Followed Hyperlink" xfId="442" builtinId="9" hidden="1"/>
    <cellStyle name="Followed Hyperlink" xfId="319" builtinId="9" hidden="1"/>
    <cellStyle name="Followed Hyperlink" xfId="658" builtinId="9" hidden="1"/>
    <cellStyle name="Followed Hyperlink" xfId="618" builtinId="9" hidden="1"/>
    <cellStyle name="Followed Hyperlink" xfId="327" builtinId="9" hidden="1"/>
    <cellStyle name="Followed Hyperlink" xfId="173" builtinId="9" hidden="1"/>
    <cellStyle name="Followed Hyperlink" xfId="570" builtinId="9" hidden="1"/>
    <cellStyle name="Followed Hyperlink" xfId="143" builtinId="9" hidden="1"/>
    <cellStyle name="Followed Hyperlink" xfId="345" builtinId="9" hidden="1"/>
    <cellStyle name="Followed Hyperlink" xfId="259" builtinId="9" hidden="1"/>
    <cellStyle name="Followed Hyperlink" xfId="530" builtinId="9" hidden="1"/>
    <cellStyle name="Followed Hyperlink" xfId="165" builtinId="9" hidden="1"/>
    <cellStyle name="Followed Hyperlink" xfId="654" builtinId="9" hidden="1"/>
    <cellStyle name="Followed Hyperlink" xfId="554" builtinId="9" hidden="1"/>
    <cellStyle name="Followed Hyperlink" xfId="705" builtinId="9" hidden="1"/>
    <cellStyle name="Followed Hyperlink" xfId="15" builtinId="9" hidden="1"/>
    <cellStyle name="Followed Hyperlink" xfId="516" builtinId="9" hidden="1"/>
    <cellStyle name="Followed Hyperlink" xfId="458" builtinId="9" hidden="1"/>
    <cellStyle name="Followed Hyperlink" xfId="717" builtinId="9" hidden="1"/>
    <cellStyle name="Followed Hyperlink" xfId="683" builtinId="9" hidden="1"/>
    <cellStyle name="Followed Hyperlink" xfId="538" builtinId="9" hidden="1"/>
    <cellStyle name="Followed Hyperlink" xfId="3" builtinId="9" hidden="1"/>
    <cellStyle name="Followed Hyperlink" xfId="341" builtinId="9" hidden="1"/>
    <cellStyle name="Followed Hyperlink" xfId="550" builtinId="9" hidden="1"/>
    <cellStyle name="Followed Hyperlink" xfId="640" builtinId="9" hidden="1"/>
    <cellStyle name="Followed Hyperlink" xfId="677" builtinId="9" hidden="1"/>
    <cellStyle name="Followed Hyperlink" xfId="436" builtinId="9" hidden="1"/>
    <cellStyle name="Followed Hyperlink" xfId="267" builtinId="9" hidden="1"/>
    <cellStyle name="Followed Hyperlink" xfId="265" builtinId="9" hidden="1"/>
    <cellStyle name="Followed Hyperlink" xfId="113" builtinId="9" hidden="1"/>
    <cellStyle name="Followed Hyperlink" xfId="213" builtinId="9" hidden="1"/>
    <cellStyle name="Followed Hyperlink" xfId="309" builtinId="9" hidden="1"/>
    <cellStyle name="Followed Hyperlink" xfId="301" builtinId="9" hidden="1"/>
    <cellStyle name="Followed Hyperlink" xfId="247" builtinId="9" hidden="1"/>
    <cellStyle name="Followed Hyperlink" xfId="424" builtinId="9" hidden="1"/>
    <cellStyle name="Followed Hyperlink" xfId="163" builtinId="9" hidden="1"/>
    <cellStyle name="Followed Hyperlink" xfId="85" builtinId="9" hidden="1"/>
    <cellStyle name="Followed Hyperlink" xfId="486" builtinId="9" hidden="1"/>
    <cellStyle name="Followed Hyperlink" xfId="566" builtinId="9" hidden="1"/>
    <cellStyle name="Followed Hyperlink" xfId="444" builtinId="9" hidden="1"/>
    <cellStyle name="Followed Hyperlink" xfId="33" builtinId="9" hidden="1"/>
    <cellStyle name="Followed Hyperlink" xfId="61" builtinId="9" hidden="1"/>
    <cellStyle name="Followed Hyperlink" xfId="378" builtinId="9" hidden="1"/>
    <cellStyle name="Followed Hyperlink" xfId="261" builtinId="9" hidden="1"/>
    <cellStyle name="Followed Hyperlink" xfId="440" builtinId="9" hidden="1"/>
    <cellStyle name="Followed Hyperlink" xfId="181" builtinId="9" hidden="1"/>
    <cellStyle name="Followed Hyperlink" xfId="167" builtinId="9" hidden="1"/>
    <cellStyle name="Followed Hyperlink" xfId="522" builtinId="9" hidden="1"/>
    <cellStyle name="Followed Hyperlink" xfId="650" builtinId="9" hidden="1"/>
    <cellStyle name="Followed Hyperlink" xfId="685" builtinId="9" hidden="1"/>
    <cellStyle name="Followed Hyperlink" xfId="382" builtinId="9" hidden="1"/>
    <cellStyle name="Followed Hyperlink" xfId="711" builtinId="9" hidden="1"/>
    <cellStyle name="Followed Hyperlink" xfId="229" builtinId="9" hidden="1"/>
    <cellStyle name="Followed Hyperlink" xfId="738" builtinId="9" hidden="1"/>
    <cellStyle name="Followed Hyperlink" xfId="129" builtinId="9" hidden="1"/>
    <cellStyle name="Followed Hyperlink" xfId="450" builtinId="9" hidden="1"/>
    <cellStyle name="Followed Hyperlink" xfId="221" builtinId="9" hidden="1"/>
    <cellStyle name="Followed Hyperlink" xfId="612" builtinId="9" hidden="1"/>
    <cellStyle name="Followed Hyperlink" xfId="460" builtinId="9" hidden="1"/>
    <cellStyle name="Followed Hyperlink" xfId="331" builtinId="9" hidden="1"/>
    <cellStyle name="Followed Hyperlink" xfId="313" builtinId="9" hidden="1"/>
    <cellStyle name="Followed Hyperlink" xfId="406" builtinId="9" hidden="1"/>
    <cellStyle name="Followed Hyperlink" xfId="614" builtinId="9" hidden="1"/>
    <cellStyle name="Followed Hyperlink" xfId="337" builtinId="9" hidden="1"/>
    <cellStyle name="Followed Hyperlink" xfId="211" builtinId="9" hidden="1"/>
    <cellStyle name="Followed Hyperlink" xfId="488" builtinId="9" hidden="1"/>
    <cellStyle name="Followed Hyperlink" xfId="7" builtinId="9" hidden="1"/>
    <cellStyle name="Followed Hyperlink" xfId="59" builtinId="9" hidden="1"/>
    <cellStyle name="Followed Hyperlink" xfId="358" builtinId="9" hidden="1"/>
    <cellStyle name="Followed Hyperlink" xfId="135" builtinId="9" hidden="1"/>
    <cellStyle name="Followed Hyperlink" xfId="478" builtinId="9" hidden="1"/>
    <cellStyle name="Followed Hyperlink" xfId="283" builtinId="9" hidden="1"/>
    <cellStyle name="Followed Hyperlink" xfId="719" builtinId="9" hidden="1"/>
    <cellStyle name="Followed Hyperlink" xfId="604" builtinId="9" hidden="1"/>
    <cellStyle name="Followed Hyperlink" xfId="199" builtinId="9" hidden="1"/>
    <cellStyle name="Followed Hyperlink" xfId="446" builtinId="9" hidden="1"/>
    <cellStyle name="Followed Hyperlink" xfId="9" builtinId="9" hidden="1"/>
    <cellStyle name="Followed Hyperlink" xfId="25" builtinId="9" hidden="1"/>
    <cellStyle name="Followed Hyperlink" xfId="203" builtinId="9" hidden="1"/>
    <cellStyle name="Followed Hyperlink" xfId="29" builtinId="9" hidden="1"/>
    <cellStyle name="Followed Hyperlink" xfId="207" builtinId="9" hidden="1"/>
    <cellStyle name="Followed Hyperlink" xfId="103" builtinId="9" hidden="1"/>
    <cellStyle name="Followed Hyperlink" xfId="560" builtinId="9" hidden="1"/>
    <cellStyle name="Followed Hyperlink" xfId="600" builtinId="9" hidden="1"/>
    <cellStyle name="Followed Hyperlink" xfId="725" builtinId="9" hidden="1"/>
    <cellStyle name="Followed Hyperlink" xfId="219" builtinId="9" hidden="1"/>
    <cellStyle name="Followed Hyperlink" xfId="111" builtinId="9" hidden="1"/>
    <cellStyle name="Followed Hyperlink" xfId="638" builtinId="9" hidden="1"/>
    <cellStyle name="Followed Hyperlink" xfId="119" builtinId="9" hidden="1"/>
    <cellStyle name="Followed Hyperlink" xfId="151" builtinId="9" hidden="1"/>
    <cellStyle name="Followed Hyperlink" xfId="514" builtinId="9" hidden="1"/>
    <cellStyle name="Followed Hyperlink" xfId="721" builtinId="9" hidden="1"/>
    <cellStyle name="Followed Hyperlink" xfId="171" builtinId="9" hidden="1"/>
    <cellStyle name="Followed Hyperlink" xfId="47" builtinId="9" hidden="1"/>
    <cellStyle name="Followed Hyperlink" xfId="644" builtinId="9" hidden="1"/>
    <cellStyle name="Followed Hyperlink" xfId="21" builtinId="9" hidden="1"/>
    <cellStyle name="Followed Hyperlink" xfId="404" builtinId="9" hidden="1"/>
    <cellStyle name="Followed Hyperlink" xfId="454" builtinId="9" hidden="1"/>
    <cellStyle name="Followed Hyperlink" xfId="380" builtinId="9" hidden="1"/>
    <cellStyle name="Followed Hyperlink" xfId="253" builtinId="9" hidden="1"/>
    <cellStyle name="Followed Hyperlink" xfId="636" builtinId="9" hidden="1"/>
    <cellStyle name="Followed Hyperlink" xfId="350" builtinId="9" hidden="1"/>
    <cellStyle name="Followed Hyperlink" xfId="546" builtinId="9" hidden="1"/>
    <cellStyle name="Followed Hyperlink" xfId="693" builtinId="9" hidden="1"/>
    <cellStyle name="Followed Hyperlink" xfId="255" builtinId="9" hidden="1"/>
    <cellStyle name="Followed Hyperlink" xfId="504" builtinId="9" hidden="1"/>
    <cellStyle name="Followed Hyperlink" xfId="532" builtinId="9" hidden="1"/>
    <cellStyle name="Followed Hyperlink" xfId="632" builtinId="9" hidden="1"/>
    <cellStyle name="Followed Hyperlink" xfId="179" builtinId="9" hidden="1"/>
    <cellStyle name="Followed Hyperlink" xfId="263" builtinId="9" hidden="1"/>
    <cellStyle name="Followed Hyperlink" xfId="233" builtinId="9" hidden="1"/>
    <cellStyle name="Followed Hyperlink" xfId="299" builtinId="9" hidden="1"/>
    <cellStyle name="Followed Hyperlink" xfId="703" builtinId="9" hidden="1"/>
    <cellStyle name="Followed Hyperlink" xfId="75" builtinId="9" hidden="1"/>
    <cellStyle name="Hyperlink" xfId="565" builtinId="8" hidden="1"/>
    <cellStyle name="Hyperlink" xfId="706" builtinId="8" hidden="1"/>
    <cellStyle name="Hyperlink" xfId="367" builtinId="8" hidden="1"/>
    <cellStyle name="Hyperlink" xfId="489" builtinId="8" hidden="1"/>
    <cellStyle name="Hyperlink" xfId="238" builtinId="8" hidden="1"/>
    <cellStyle name="Hyperlink" xfId="334" builtinId="8" hidden="1"/>
    <cellStyle name="Hyperlink" xfId="537" builtinId="8" hidden="1"/>
    <cellStyle name="Hyperlink" xfId="12" builtinId="8" hidden="1"/>
    <cellStyle name="Hyperlink" xfId="381" builtinId="8" hidden="1"/>
    <cellStyle name="Hyperlink" xfId="278" builtinId="8" hidden="1"/>
    <cellStyle name="Hyperlink" xfId="128" builtinId="8" hidden="1"/>
    <cellStyle name="Hyperlink" xfId="657" builtinId="8" hidden="1"/>
    <cellStyle name="Hyperlink" xfId="605" builtinId="8" hidden="1"/>
    <cellStyle name="Hyperlink" xfId="104" builtinId="8" hidden="1"/>
    <cellStyle name="Hyperlink" xfId="465" builtinId="8" hidden="1"/>
    <cellStyle name="Hyperlink" xfId="164" builtinId="8" hidden="1"/>
    <cellStyle name="Hyperlink" xfId="423" builtinId="8" hidden="1"/>
    <cellStyle name="Hyperlink" xfId="643" builtinId="8" hidden="1"/>
    <cellStyle name="Hyperlink" xfId="688" builtinId="8" hidden="1"/>
    <cellStyle name="Hyperlink" xfId="603" builtinId="8" hidden="1"/>
    <cellStyle name="Hyperlink" xfId="487" builtinId="8" hidden="1"/>
    <cellStyle name="Hyperlink" xfId="92" builtinId="8" hidden="1"/>
    <cellStyle name="Hyperlink" xfId="56" builtinId="8" hidden="1"/>
    <cellStyle name="Hyperlink" xfId="282" builtinId="8" hidden="1"/>
    <cellStyle name="Hyperlink" xfId="351" builtinId="8" hidden="1"/>
    <cellStyle name="Hyperlink" xfId="234" builtinId="8" hidden="1"/>
    <cellStyle name="Hyperlink" xfId="176" builtinId="8" hidden="1"/>
    <cellStyle name="Hyperlink" xfId="326" builtinId="8" hidden="1"/>
    <cellStyle name="Hyperlink" xfId="483" builtinId="8" hidden="1"/>
    <cellStyle name="Hyperlink" xfId="214" builtinId="8" hidden="1"/>
    <cellStyle name="Hyperlink" xfId="567" builtinId="8" hidden="1"/>
    <cellStyle name="Hyperlink" xfId="200" builtinId="8" hidden="1"/>
    <cellStyle name="Hyperlink" xfId="344" builtinId="8" hidden="1"/>
    <cellStyle name="Hyperlink" xfId="232" builtinId="8" hidden="1"/>
    <cellStyle name="Hyperlink" xfId="316" builtinId="8" hidden="1"/>
    <cellStyle name="Hyperlink" xfId="714" builtinId="8" hidden="1"/>
    <cellStyle name="Hyperlink" xfId="312" builtinId="8" hidden="1"/>
    <cellStyle name="Hyperlink" xfId="162" builtinId="8" hidden="1"/>
    <cellStyle name="Hyperlink" xfId="314" builtinId="8" hidden="1"/>
    <cellStyle name="Hyperlink" xfId="332" builtinId="8" hidden="1"/>
    <cellStyle name="Hyperlink" xfId="579" builtinId="8" hidden="1"/>
    <cellStyle name="Hyperlink" xfId="459" builtinId="8" hidden="1"/>
    <cellStyle name="Hyperlink" xfId="617" builtinId="8" hidden="1"/>
    <cellStyle name="Hyperlink" xfId="294" builtinId="8" hidden="1"/>
    <cellStyle name="Hyperlink" xfId="184" builtinId="8" hidden="1"/>
    <cellStyle name="Hyperlink" xfId="395" builtinId="8" hidden="1"/>
    <cellStyle name="Hyperlink" xfId="78" builtinId="8" hidden="1"/>
    <cellStyle name="Hyperlink" xfId="88" builtinId="8" hidden="1"/>
    <cellStyle name="Hyperlink" xfId="363" builtinId="8" hidden="1"/>
    <cellStyle name="Hyperlink" xfId="310" builtinId="8" hidden="1"/>
    <cellStyle name="Hyperlink" xfId="371" builtinId="8" hidden="1"/>
    <cellStyle name="Hyperlink" xfId="425" builtinId="8" hidden="1"/>
    <cellStyle name="Hyperlink" xfId="631" builtinId="8" hidden="1"/>
    <cellStyle name="Hyperlink" xfId="318" builtinId="8" hidden="1"/>
    <cellStyle name="Hyperlink" xfId="726" builtinId="8" hidden="1"/>
    <cellStyle name="Hyperlink" xfId="607" builtinId="8" hidden="1"/>
    <cellStyle name="Hyperlink" xfId="62" builtinId="8" hidden="1"/>
    <cellStyle name="Hyperlink" xfId="720" builtinId="8" hidden="1"/>
    <cellStyle name="Hyperlink" xfId="473" builtinId="8" hidden="1"/>
    <cellStyle name="Hyperlink" xfId="391" builtinId="8" hidden="1"/>
    <cellStyle name="Hyperlink" xfId="503" builtinId="8" hidden="1"/>
    <cellStyle name="Hyperlink" xfId="451" builtinId="8" hidden="1"/>
    <cellStyle name="Hyperlink" xfId="674" builtinId="8" hidden="1"/>
    <cellStyle name="Hyperlink" xfId="82" builtinId="8" hidden="1"/>
    <cellStyle name="Hyperlink" xfId="188" builtinId="8" hidden="1"/>
    <cellStyle name="Hyperlink" xfId="172" builtinId="8" hidden="1"/>
    <cellStyle name="Hyperlink" xfId="320" builtinId="8" hidden="1"/>
    <cellStyle name="Hyperlink" xfId="194" builtinId="8" hidden="1"/>
    <cellStyle name="Hyperlink" xfId="429" builtinId="8" hidden="1"/>
    <cellStyle name="Hyperlink" xfId="150" builtinId="8" hidden="1"/>
    <cellStyle name="Hyperlink" xfId="24" builtinId="8" hidden="1"/>
    <cellStyle name="Hyperlink" xfId="743" builtinId="8" hidden="1"/>
    <cellStyle name="Hyperlink" xfId="615" builtinId="8" hidden="1"/>
    <cellStyle name="Hyperlink" xfId="499" builtinId="8" hidden="1"/>
    <cellStyle name="Hyperlink" xfId="126" builtinId="8" hidden="1"/>
    <cellStyle name="Hyperlink" xfId="437" builtinId="8" hidden="1"/>
    <cellStyle name="Hyperlink" xfId="284" builtinId="8" hidden="1"/>
    <cellStyle name="Hyperlink" xfId="258" builtinId="8" hidden="1"/>
    <cellStyle name="Hyperlink" xfId="260" builtinId="8" hidden="1"/>
    <cellStyle name="Hyperlink" xfId="198" builtinId="8" hidden="1"/>
    <cellStyle name="Hyperlink" xfId="686" builtinId="8" hidden="1"/>
    <cellStyle name="Hyperlink" xfId="340" builtinId="8" hidden="1"/>
    <cellStyle name="Hyperlink" xfId="84" builtinId="8" hidden="1"/>
    <cellStyle name="Hyperlink" xfId="517" builtinId="8" hidden="1"/>
    <cellStyle name="Hyperlink" xfId="421" builtinId="8" hidden="1"/>
    <cellStyle name="Hyperlink" xfId="146" builtinId="8" hidden="1"/>
    <cellStyle name="Hyperlink" xfId="242" builtinId="8" hidden="1"/>
    <cellStyle name="Hyperlink" xfId="405" builtinId="8" hidden="1"/>
    <cellStyle name="Hyperlink" xfId="427" builtinId="8" hidden="1"/>
    <cellStyle name="Hyperlink" xfId="377" builtinId="8" hidden="1"/>
    <cellStyle name="Hyperlink" xfId="529" builtinId="8" hidden="1"/>
    <cellStyle name="Hyperlink" xfId="230" builtinId="8" hidden="1"/>
    <cellStyle name="Hyperlink" xfId="670" builtinId="8" hidden="1"/>
    <cellStyle name="Hyperlink" xfId="684" builtinId="8" hidden="1"/>
    <cellStyle name="Hyperlink" xfId="535" builtinId="8" hidden="1"/>
    <cellStyle name="Hyperlink" xfId="222" builtinId="8" hidden="1"/>
    <cellStyle name="Hyperlink" xfId="18" builtinId="8" hidden="1"/>
    <cellStyle name="Hyperlink" xfId="216" builtinId="8" hidden="1"/>
    <cellStyle name="Hyperlink" xfId="336" builtinId="8" hidden="1"/>
    <cellStyle name="Hyperlink" xfId="401" builtinId="8" hidden="1"/>
    <cellStyle name="Hyperlink" xfId="666" builtinId="8" hidden="1"/>
    <cellStyle name="Hyperlink" xfId="467" builtinId="8" hidden="1"/>
    <cellStyle name="Hyperlink" xfId="549" builtinId="8" hidden="1"/>
    <cellStyle name="Hyperlink" xfId="254" builtinId="8" hidden="1"/>
    <cellStyle name="Hyperlink" xfId="236" builtinId="8" hidden="1"/>
    <cellStyle name="Hyperlink" xfId="250" builtinId="8" hidden="1"/>
    <cellStyle name="Hyperlink" xfId="268" builtinId="8" hidden="1"/>
    <cellStyle name="Hyperlink" xfId="74" builtinId="8" hidden="1"/>
    <cellStyle name="Hyperlink" xfId="60" builtinId="8" hidden="1"/>
    <cellStyle name="Hyperlink" xfId="44" builtinId="8" hidden="1"/>
    <cellStyle name="Hyperlink" xfId="672" builtinId="8" hidden="1"/>
    <cellStyle name="Hyperlink" xfId="745" builtinId="8" hidden="1"/>
    <cellStyle name="Hyperlink" xfId="302" builtinId="8" hidden="1"/>
    <cellStyle name="Hyperlink" xfId="716" builtinId="8" hidden="1"/>
    <cellStyle name="Hyperlink" xfId="409" builtinId="8" hidden="1"/>
    <cellStyle name="Hyperlink" xfId="274" builtinId="8" hidden="1"/>
    <cellStyle name="Hyperlink" xfId="601" builtinId="8" hidden="1"/>
    <cellStyle name="Hyperlink" xfId="208" builtinId="8" hidden="1"/>
    <cellStyle name="Hyperlink" xfId="106" builtinId="8" hidden="1"/>
    <cellStyle name="Hyperlink" xfId="342" builtinId="8" hidden="1"/>
    <cellStyle name="Hyperlink" xfId="180" builtinId="8" hidden="1"/>
    <cellStyle name="Hyperlink" xfId="507" builtinId="8" hidden="1"/>
    <cellStyle name="Hyperlink" xfId="68" builtinId="8" hidden="1"/>
    <cellStyle name="Hyperlink" xfId="627" builtinId="8" hidden="1"/>
    <cellStyle name="Hyperlink" xfId="210" builtinId="8" hidden="1"/>
    <cellStyle name="Hyperlink" xfId="611" builtinId="8" hidden="1"/>
    <cellStyle name="Hyperlink" xfId="403" builtinId="8" hidden="1"/>
    <cellStyle name="Hyperlink" xfId="495" builtinId="8" hidden="1"/>
    <cellStyle name="Hyperlink" xfId="26" builtinId="8" hidden="1"/>
    <cellStyle name="Hyperlink" xfId="166" builtinId="8" hidden="1"/>
    <cellStyle name="Hyperlink" xfId="170" builtinId="8" hidden="1"/>
    <cellStyle name="Hyperlink" xfId="485" builtinId="8" hidden="1"/>
    <cellStyle name="Hyperlink" xfId="704" builtinId="8" hidden="1"/>
    <cellStyle name="Hyperlink" xfId="212" builtinId="8" hidden="1"/>
    <cellStyle name="Hyperlink" xfId="441" builtinId="8" hidden="1"/>
    <cellStyle name="Hyperlink" xfId="202" builtinId="8" hidden="1"/>
    <cellStyle name="Hyperlink" xfId="224" builtinId="8" hidden="1"/>
    <cellStyle name="Hyperlink" xfId="140" builtinId="8" hidden="1"/>
    <cellStyle name="Hyperlink" xfId="42" builtinId="8" hidden="1"/>
    <cellStyle name="Hyperlink" xfId="696" builtinId="8" hidden="1"/>
    <cellStyle name="Hyperlink" xfId="136" builtinId="8" hidden="1"/>
    <cellStyle name="Hyperlink" xfId="569" builtinId="8" hidden="1"/>
    <cellStyle name="Hyperlink" xfId="593" builtinId="8" hidden="1"/>
    <cellStyle name="Hyperlink" xfId="722" builtinId="8" hidden="1"/>
    <cellStyle name="Hyperlink" xfId="192" builtinId="8" hidden="1"/>
    <cellStyle name="Hyperlink" xfId="280" builtinId="8" hidden="1"/>
    <cellStyle name="Hyperlink" xfId="288" builtinId="8" hidden="1"/>
    <cellStyle name="Hyperlink" xfId="639" builtinId="8" hidden="1"/>
    <cellStyle name="Hyperlink" xfId="645" builtinId="8" hidden="1"/>
    <cellStyle name="Hyperlink" xfId="682" builtinId="8" hidden="1"/>
    <cellStyle name="Hyperlink" xfId="445" builtinId="8" hidden="1"/>
    <cellStyle name="Hyperlink" xfId="86" builtinId="8" hidden="1"/>
    <cellStyle name="Hyperlink" xfId="270" builtinId="8" hidden="1"/>
    <cellStyle name="Hyperlink" xfId="64" builtinId="8" hidden="1"/>
    <cellStyle name="Hyperlink" xfId="413" builtinId="8" hidden="1"/>
    <cellStyle name="Hyperlink" xfId="300" builtinId="8" hidden="1"/>
    <cellStyle name="Hyperlink" xfId="493" builtinId="8" hidden="1"/>
    <cellStyle name="Hyperlink" xfId="120" builtinId="8" hidden="1"/>
    <cellStyle name="Hyperlink" xfId="471" builtinId="8" hidden="1"/>
    <cellStyle name="Hyperlink" xfId="70" builtinId="8" hidden="1"/>
    <cellStyle name="Hyperlink" xfId="108" builtinId="8" hidden="1"/>
    <cellStyle name="Hyperlink" xfId="375" builtinId="8" hidden="1"/>
    <cellStyle name="Hyperlink" xfId="266" builtinId="8" hidden="1"/>
    <cellStyle name="Hyperlink" xfId="134" builtinId="8" hidden="1"/>
    <cellStyle name="Hyperlink" xfId="397" builtinId="8" hidden="1"/>
    <cellStyle name="Hyperlink" xfId="186" builtinId="8" hidden="1"/>
    <cellStyle name="Hyperlink" xfId="349" builtinId="8" hidden="1"/>
    <cellStyle name="Hyperlink" xfId="651" builtinId="8" hidden="1"/>
    <cellStyle name="Hyperlink" xfId="741" builtinId="8" hidden="1"/>
    <cellStyle name="Hyperlink" xfId="10" builtinId="8" hidden="1"/>
    <cellStyle name="Hyperlink" xfId="587" builtinId="8" hidden="1"/>
    <cellStyle name="Hyperlink" xfId="509" builtinId="8" hidden="1"/>
    <cellStyle name="Hyperlink" xfId="710" builtinId="8" hidden="1"/>
    <cellStyle name="Hyperlink" xfId="38" builtinId="8" hidden="1"/>
    <cellStyle name="Hyperlink" xfId="130" builtinId="8" hidden="1"/>
    <cellStyle name="Hyperlink" xfId="561" builtinId="8" hidden="1"/>
    <cellStyle name="Hyperlink" xfId="226" builtinId="8" hidden="1"/>
    <cellStyle name="Hyperlink" xfId="154" builtinId="8" hidden="1"/>
    <cellStyle name="Hyperlink" xfId="541" builtinId="8" hidden="1"/>
    <cellStyle name="Hyperlink" xfId="735" builtinId="8" hidden="1"/>
    <cellStyle name="Hyperlink" xfId="585" builtinId="8" hidden="1"/>
    <cellStyle name="Hyperlink" xfId="178" builtinId="8" hidden="1"/>
    <cellStyle name="Hyperlink" xfId="698" builtinId="8" hidden="1"/>
    <cellStyle name="Hyperlink" xfId="50" builtinId="8" hidden="1"/>
    <cellStyle name="Hyperlink" xfId="692" builtinId="8" hidden="1"/>
    <cellStyle name="Hyperlink" xfId="661" builtinId="8" hidden="1"/>
    <cellStyle name="Hyperlink" xfId="491" builtinId="8" hidden="1"/>
    <cellStyle name="Hyperlink" xfId="694" builtinId="8" hidden="1"/>
    <cellStyle name="Hyperlink" xfId="718" builtinId="8" hidden="1"/>
    <cellStyle name="Hyperlink" xfId="623" builtinId="8" hidden="1"/>
    <cellStyle name="Hyperlink" xfId="240" builtinId="8" hidden="1"/>
    <cellStyle name="Hyperlink" xfId="324" builtinId="8" hidden="1"/>
    <cellStyle name="Hyperlink" xfId="204" builtinId="8" hidden="1"/>
    <cellStyle name="Hyperlink" xfId="411" builtinId="8" hidden="1"/>
    <cellStyle name="Hyperlink" xfId="668" builtinId="8" hidden="1"/>
    <cellStyle name="Hyperlink" xfId="521" builtinId="8" hidden="1"/>
    <cellStyle name="Hyperlink" xfId="583" builtinId="8" hidden="1"/>
    <cellStyle name="Hyperlink" xfId="728" builtinId="8" hidden="1"/>
    <cellStyle name="Hyperlink" xfId="379" builtinId="8" hidden="1"/>
    <cellStyle name="Hyperlink" xfId="393" builtinId="8" hidden="1"/>
    <cellStyle name="Hyperlink" xfId="712" builtinId="8" hidden="1"/>
    <cellStyle name="Hyperlink" xfId="439" builtinId="8" hidden="1"/>
    <cellStyle name="Hyperlink" xfId="690" builtinId="8" hidden="1"/>
    <cellStyle name="Hyperlink" xfId="680" builtinId="8" hidden="1"/>
    <cellStyle name="Hyperlink" xfId="463" builtinId="8" hidden="1"/>
    <cellStyle name="Hyperlink" xfId="477" builtinId="8" hidden="1"/>
    <cellStyle name="Hyperlink" xfId="58" builtinId="8" hidden="1"/>
    <cellStyle name="Hyperlink" xfId="700" builtinId="8" hidden="1"/>
    <cellStyle name="Hyperlink" xfId="20" builtinId="8" hidden="1"/>
    <cellStyle name="Hyperlink" xfId="262" builtinId="8" hidden="1"/>
    <cellStyle name="Hyperlink" xfId="272" builtinId="8" hidden="1"/>
    <cellStyle name="Hyperlink" xfId="357" builtinId="8" hidden="1"/>
    <cellStyle name="Hyperlink" xfId="14" builtinId="8" hidden="1"/>
    <cellStyle name="Hyperlink" xfId="433" builtinId="8" hidden="1"/>
    <cellStyle name="Hyperlink" xfId="118" builtinId="8" hidden="1"/>
    <cellStyle name="Hyperlink" xfId="599" builtinId="8" hidden="1"/>
    <cellStyle name="Hyperlink" xfId="152" builtinId="8" hidden="1"/>
    <cellStyle name="Hyperlink" xfId="431" builtinId="8" hidden="1"/>
    <cellStyle name="Hyperlink" xfId="359" builtinId="8" hidden="1"/>
    <cellStyle name="Hyperlink" xfId="102" builtinId="8" hidden="1"/>
    <cellStyle name="Hyperlink" xfId="385" builtinId="8" hidden="1"/>
    <cellStyle name="Hyperlink" xfId="290" builtinId="8" hidden="1"/>
    <cellStyle name="Hyperlink" xfId="525" builtinId="8" hidden="1"/>
    <cellStyle name="Hyperlink" xfId="505" builtinId="8" hidden="1"/>
    <cellStyle name="Hyperlink" xfId="702" builtinId="8" hidden="1"/>
    <cellStyle name="Hyperlink" xfId="737" builtinId="8" hidden="1"/>
    <cellStyle name="Hyperlink" xfId="533" builtinId="8" hidden="1"/>
    <cellStyle name="Hyperlink" xfId="447" builtinId="8" hidden="1"/>
    <cellStyle name="Hyperlink" xfId="475" builtinId="8" hidden="1"/>
    <cellStyle name="Hyperlink" xfId="637" builtinId="8" hidden="1"/>
    <cellStyle name="Hyperlink" xfId="304" builtinId="8" hidden="1"/>
    <cellStyle name="Hyperlink" xfId="6" builtinId="8" hidden="1"/>
    <cellStyle name="Hyperlink" xfId="220" builtinId="8" hidden="1"/>
    <cellStyle name="Hyperlink" xfId="625" builtinId="8" hidden="1"/>
    <cellStyle name="Hyperlink" xfId="148" builtinId="8" hidden="1"/>
    <cellStyle name="Hyperlink" xfId="443" builtinId="8" hidden="1"/>
    <cellStyle name="Hyperlink" xfId="415" builtinId="8" hidden="1"/>
    <cellStyle name="Hyperlink" xfId="298" builtinId="8" hidden="1"/>
    <cellStyle name="Hyperlink" xfId="653" builtinId="8" hidden="1"/>
    <cellStyle name="Hyperlink" xfId="619" builtinId="8" hidden="1"/>
    <cellStyle name="Hyperlink" xfId="621" builtinId="8" hidden="1"/>
    <cellStyle name="Hyperlink" xfId="36" builtinId="8" hidden="1"/>
    <cellStyle name="Hyperlink" xfId="539" builtinId="8" hidden="1"/>
    <cellStyle name="Hyperlink" xfId="116" builtinId="8" hidden="1"/>
    <cellStyle name="Hyperlink" xfId="731" builtinId="8" hidden="1"/>
    <cellStyle name="Hyperlink" xfId="353" builtinId="8" hidden="1"/>
    <cellStyle name="Hyperlink" xfId="387" builtinId="8" hidden="1"/>
    <cellStyle name="Hyperlink" xfId="168" builtinId="8" hidden="1"/>
    <cellStyle name="Hyperlink" xfId="479" builtinId="8" hidden="1"/>
    <cellStyle name="Hyperlink" xfId="122" builtinId="8" hidden="1"/>
    <cellStyle name="Hyperlink" xfId="469" builtinId="8" hidden="1"/>
    <cellStyle name="Hyperlink" xfId="597" builtinId="8" hidden="1"/>
    <cellStyle name="Hyperlink" xfId="543" builtinId="8" hidden="1"/>
    <cellStyle name="Hyperlink" xfId="308" builtinId="8" hidden="1"/>
    <cellStyle name="Hyperlink" xfId="455" builtinId="8" hidden="1"/>
    <cellStyle name="Hyperlink" xfId="655" builtinId="8" hidden="1"/>
    <cellStyle name="Hyperlink" xfId="182" builtinId="8" hidden="1"/>
    <cellStyle name="Hyperlink" xfId="110" builtinId="8" hidden="1"/>
    <cellStyle name="Hyperlink" xfId="581" builtinId="8" hidden="1"/>
    <cellStyle name="Hyperlink" xfId="98" builtinId="8" hidden="1"/>
    <cellStyle name="Hyperlink" xfId="114" builtinId="8" hidden="1"/>
    <cellStyle name="Hyperlink" xfId="76" builtinId="8" hidden="1"/>
    <cellStyle name="Hyperlink" xfId="190" builtinId="8" hidden="1"/>
    <cellStyle name="Hyperlink" xfId="571" builtinId="8" hidden="1"/>
    <cellStyle name="Hyperlink" xfId="296" builtinId="8" hidden="1"/>
    <cellStyle name="Hyperlink" xfId="407" builtinId="8" hidden="1"/>
    <cellStyle name="Hyperlink" xfId="563" builtinId="8" hidden="1"/>
    <cellStyle name="Hyperlink" xfId="724" builtinId="8" hidden="1"/>
    <cellStyle name="Hyperlink" xfId="559" builtinId="8" hidden="1"/>
    <cellStyle name="Hyperlink" xfId="48" builtinId="8" hidden="1"/>
    <cellStyle name="Hyperlink" xfId="94" builtinId="8" hidden="1"/>
    <cellStyle name="Hyperlink" xfId="292" builtinId="8" hidden="1"/>
    <cellStyle name="Hyperlink" xfId="206" builtinId="8" hidden="1"/>
    <cellStyle name="Hyperlink" xfId="591" builtinId="8" hidden="1"/>
    <cellStyle name="Hyperlink" xfId="613" builtinId="8" hidden="1"/>
    <cellStyle name="Hyperlink" xfId="589" builtinId="8" hidden="1"/>
    <cellStyle name="Hyperlink" xfId="609" builtinId="8" hidden="1"/>
    <cellStyle name="Hyperlink" xfId="647" builtinId="8" hidden="1"/>
    <cellStyle name="Hyperlink" xfId="633" builtinId="8" hidden="1"/>
    <cellStyle name="Hyperlink" xfId="373" builtinId="8" hidden="1"/>
    <cellStyle name="Hyperlink" xfId="355" builtinId="8" hidden="1"/>
    <cellStyle name="Hyperlink" xfId="22" builtinId="8" hidden="1"/>
    <cellStyle name="Hyperlink" xfId="330" builtinId="8" hidden="1"/>
    <cellStyle name="Hyperlink" xfId="100" builtinId="8" hidden="1"/>
    <cellStyle name="Hyperlink" xfId="2" builtinId="8" hidden="1"/>
    <cellStyle name="Hyperlink" xfId="244" builtinId="8" hidden="1"/>
    <cellStyle name="Hyperlink" xfId="678" builtinId="8" hidden="1"/>
    <cellStyle name="Hyperlink" xfId="52" builtinId="8" hidden="1"/>
    <cellStyle name="Hyperlink" xfId="527" builtinId="8" hidden="1"/>
    <cellStyle name="Hyperlink" xfId="174" builtinId="8" hidden="1"/>
    <cellStyle name="Hyperlink" xfId="641" builtinId="8" hidden="1"/>
    <cellStyle name="Hyperlink" xfId="264" builtinId="8" hidden="1"/>
    <cellStyle name="Hyperlink" xfId="553" builtinId="8" hidden="1"/>
    <cellStyle name="Hyperlink" xfId="96" builtinId="8" hidden="1"/>
    <cellStyle name="Hyperlink" xfId="417" builtinId="8" hidden="1"/>
    <cellStyle name="Hyperlink" xfId="733" builtinId="8" hidden="1"/>
    <cellStyle name="Hyperlink" xfId="515" builtinId="8" hidden="1"/>
    <cellStyle name="Hyperlink" xfId="519" builtinId="8" hidden="1"/>
    <cellStyle name="Hyperlink" xfId="158" builtinId="8" hidden="1"/>
    <cellStyle name="Hyperlink" xfId="365" builtinId="8" hidden="1"/>
    <cellStyle name="Hyperlink" xfId="124" builtinId="8" hidden="1"/>
    <cellStyle name="Hyperlink" xfId="547" builtinId="8" hidden="1"/>
    <cellStyle name="Hyperlink" xfId="555" builtinId="8" hidden="1"/>
    <cellStyle name="Hyperlink" xfId="252" builtinId="8" hidden="1"/>
    <cellStyle name="Hyperlink" xfId="551" builtinId="8" hidden="1"/>
    <cellStyle name="Hyperlink" xfId="708" builtinId="8" hidden="1"/>
    <cellStyle name="Hyperlink" xfId="144" builtinId="8" hidden="1"/>
    <cellStyle name="Hyperlink" xfId="306" builtinId="8" hidden="1"/>
    <cellStyle name="Hyperlink" xfId="497" builtinId="8" hidden="1"/>
    <cellStyle name="Hyperlink" xfId="595" builtinId="8" hidden="1"/>
    <cellStyle name="Hyperlink" xfId="501" builtinId="8" hidden="1"/>
    <cellStyle name="Hyperlink" xfId="132" builtinId="8" hidden="1"/>
    <cellStyle name="Hyperlink" xfId="40" builtinId="8" hidden="1"/>
    <cellStyle name="Hyperlink" xfId="156" builtinId="8" hidden="1"/>
    <cellStyle name="Hyperlink" xfId="557" builtinId="8" hidden="1"/>
    <cellStyle name="Hyperlink" xfId="399" builtinId="8" hidden="1"/>
    <cellStyle name="Hyperlink" xfId="545" builtinId="8" hidden="1"/>
    <cellStyle name="Hyperlink" xfId="54" builtinId="8" hidden="1"/>
    <cellStyle name="Hyperlink" xfId="573" builtinId="8" hidden="1"/>
    <cellStyle name="Hyperlink" xfId="461" builtinId="8" hidden="1"/>
    <cellStyle name="Hyperlink" xfId="328" builtinId="8" hidden="1"/>
    <cellStyle name="Hyperlink" xfId="30" builtinId="8" hidden="1"/>
    <cellStyle name="Hyperlink" xfId="32" builtinId="8" hidden="1"/>
    <cellStyle name="Hyperlink" xfId="457" builtinId="8" hidden="1"/>
    <cellStyle name="Hyperlink" xfId="228" builtinId="8" hidden="1"/>
    <cellStyle name="Hyperlink" xfId="138" builtinId="8" hidden="1"/>
    <cellStyle name="Hyperlink" xfId="256" builtinId="8" hidden="1"/>
    <cellStyle name="Hyperlink" xfId="16" builtinId="8" hidden="1"/>
    <cellStyle name="Hyperlink" xfId="531" builtinId="8" hidden="1"/>
    <cellStyle name="Hyperlink" xfId="90" builtinId="8" hidden="1"/>
    <cellStyle name="Hyperlink" xfId="649" builtinId="8" hidden="1"/>
    <cellStyle name="Hyperlink" xfId="659" builtinId="8" hidden="1"/>
    <cellStyle name="Hyperlink" xfId="66" builtinId="8" hidden="1"/>
    <cellStyle name="Hyperlink" xfId="28" builtinId="8" hidden="1"/>
    <cellStyle name="Hyperlink" xfId="72" builtinId="8" hidden="1"/>
    <cellStyle name="Hyperlink" xfId="112" builtinId="8" hidden="1"/>
    <cellStyle name="Hyperlink" xfId="383" builtinId="8" hidden="1"/>
    <cellStyle name="Hyperlink" xfId="338" builtinId="8" hidden="1"/>
    <cellStyle name="Hyperlink" xfId="389" builtinId="8" hidden="1"/>
    <cellStyle name="Hyperlink" xfId="635" builtinId="8" hidden="1"/>
    <cellStyle name="Hyperlink" xfId="361" builtinId="8" hidden="1"/>
    <cellStyle name="Hyperlink" xfId="34" builtinId="8" hidden="1"/>
    <cellStyle name="Hyperlink" xfId="511" builtinId="8" hidden="1"/>
    <cellStyle name="Hyperlink" xfId="676" builtinId="8" hidden="1"/>
    <cellStyle name="Hyperlink" xfId="142" builtinId="8" hidden="1"/>
    <cellStyle name="Hyperlink" xfId="513" builtinId="8" hidden="1"/>
    <cellStyle name="Hyperlink" xfId="435" builtinId="8" hidden="1"/>
    <cellStyle name="Hyperlink" xfId="276" builtinId="8" hidden="1"/>
    <cellStyle name="Hyperlink" xfId="369" builtinId="8" hidden="1"/>
    <cellStyle name="Hyperlink" xfId="246" builtinId="8" hidden="1"/>
    <cellStyle name="Hyperlink" xfId="419" builtinId="8" hidden="1"/>
    <cellStyle name="Hyperlink" xfId="663" builtinId="8" hidden="1"/>
    <cellStyle name="Hyperlink" xfId="629" builtinId="8" hidden="1"/>
    <cellStyle name="Hyperlink" xfId="8" builtinId="8" hidden="1"/>
    <cellStyle name="Hyperlink" xfId="453" builtinId="8" hidden="1"/>
    <cellStyle name="Hyperlink" xfId="575" builtinId="8" hidden="1"/>
    <cellStyle name="Hyperlink" xfId="523" builtinId="8" hidden="1"/>
    <cellStyle name="Hyperlink" xfId="196" builtinId="8" hidden="1"/>
    <cellStyle name="Hyperlink" xfId="739" builtinId="8" hidden="1"/>
    <cellStyle name="Hyperlink" xfId="80" builtinId="8" hidden="1"/>
    <cellStyle name="Hyperlink" xfId="4" builtinId="8" hidden="1"/>
    <cellStyle name="Hyperlink" xfId="481" builtinId="8" hidden="1"/>
    <cellStyle name="Hyperlink" xfId="286" builtinId="8" hidden="1"/>
    <cellStyle name="Hyperlink" xfId="248" builtinId="8" hidden="1"/>
    <cellStyle name="Hyperlink" xfId="160" builtinId="8" hidden="1"/>
    <cellStyle name="Hyperlink" xfId="577" builtinId="8" hidden="1"/>
    <cellStyle name="Hyperlink" xfId="46" builtinId="8" hidden="1"/>
    <cellStyle name="Hyperlink" xfId="322" builtinId="8" hidden="1"/>
    <cellStyle name="Hyperlink" xfId="449" builtinId="8" hidden="1"/>
    <cellStyle name="Hyperlink" xfId="218" builtinId="8" hidden="1"/>
    <cellStyle name="Neutral" xfId="747" builtinId="28"/>
    <cellStyle name="Neutral 2" xfId="748" xr:uid="{00000000-0005-0000-0000-0000E7020000}"/>
    <cellStyle name="Normal" xfId="0" builtinId="0"/>
    <cellStyle name="Normal 2" xfId="346" xr:uid="{00000000-0005-0000-0000-0000E9020000}"/>
    <cellStyle name="Normal 3" xfId="730" xr:uid="{00000000-0005-0000-0000-0000EA020000}"/>
    <cellStyle name="Percent" xfId="1" builtinId="5"/>
    <cellStyle name="Percent 2" xfId="347" xr:uid="{00000000-0005-0000-0000-0000EC020000}"/>
  </cellStyles>
  <dxfs count="0"/>
  <tableStyles count="0" defaultTableStyle="TableStyleMedium9" defaultPivotStyle="PivotStyleLight16"/>
  <colors>
    <mruColors>
      <color rgb="FFCCFFCC"/>
      <color rgb="FFFF00FF"/>
      <color rgb="FFFF66FF"/>
      <color rgb="FFFFFF99"/>
      <color rgb="FF00FF00"/>
      <color rgb="FF66FFFF"/>
      <color rgb="FF33CCFF"/>
      <color rgb="FF66FF66"/>
      <color rgb="FF66FF33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A284"/>
  <sheetViews>
    <sheetView tabSelected="1" topLeftCell="A154" zoomScale="70" zoomScaleNormal="70" zoomScaleSheetLayoutView="100" workbookViewId="0" xr3:uid="{AEA406A1-0E4B-5B11-9CD5-51D6E497D94C}">
      <selection activeCell="A161" sqref="A161"/>
    </sheetView>
  </sheetViews>
  <sheetFormatPr defaultColWidth="9.140625" defaultRowHeight="12.75"/>
  <cols>
    <col min="1" max="1" width="53.42578125" style="2" customWidth="1"/>
    <col min="2" max="2" width="49" style="1" customWidth="1"/>
    <col min="3" max="3" width="17.5703125" style="3" customWidth="1"/>
    <col min="4" max="4" width="11.42578125" style="4" customWidth="1"/>
    <col min="5" max="5" width="5.85546875" style="4" customWidth="1"/>
    <col min="6" max="6" width="8.85546875" style="4" customWidth="1"/>
    <col min="7" max="7" width="18.140625" style="3" customWidth="1"/>
    <col min="8" max="8" width="19.42578125" style="171" customWidth="1"/>
    <col min="9" max="9" width="11.7109375" style="3" hidden="1" customWidth="1"/>
    <col min="10" max="10" width="51.7109375" style="4" hidden="1" customWidth="1"/>
    <col min="11" max="11" width="15" style="4" hidden="1" customWidth="1"/>
    <col min="12" max="12" width="9.140625" style="4" hidden="1" customWidth="1"/>
    <col min="13" max="13" width="40.28515625" style="4" hidden="1" customWidth="1"/>
    <col min="14" max="14" width="10.42578125" style="18" hidden="1" customWidth="1"/>
    <col min="15" max="16" width="9.140625" style="4" customWidth="1"/>
    <col min="17" max="18" width="9.140625" style="4" hidden="1" customWidth="1"/>
    <col min="19" max="19" width="45.7109375" style="291" hidden="1" customWidth="1"/>
    <col min="20" max="22" width="0" style="4" hidden="1" customWidth="1"/>
    <col min="23" max="16384" width="9.140625" style="4"/>
  </cols>
  <sheetData>
    <row r="1" spans="1:27" ht="23.25" customHeight="1">
      <c r="A1" s="553" t="s">
        <v>0</v>
      </c>
      <c r="B1" s="554"/>
      <c r="C1" s="554"/>
      <c r="D1" s="554"/>
      <c r="E1" s="554"/>
      <c r="F1" s="554"/>
      <c r="G1" s="554"/>
      <c r="H1" s="554"/>
      <c r="I1" s="32"/>
      <c r="J1" s="18"/>
      <c r="K1" s="18"/>
      <c r="L1" s="18"/>
      <c r="M1" s="18"/>
      <c r="O1" s="18"/>
      <c r="P1" s="18"/>
      <c r="Q1" s="18"/>
      <c r="R1" s="18"/>
    </row>
    <row r="2" spans="1:27" ht="33" customHeight="1">
      <c r="A2" s="555" t="s">
        <v>1</v>
      </c>
      <c r="B2" s="556"/>
      <c r="C2" s="556"/>
      <c r="D2" s="556"/>
      <c r="E2" s="556"/>
      <c r="F2" s="556"/>
      <c r="G2" s="556"/>
      <c r="H2" s="556"/>
      <c r="I2" s="64"/>
      <c r="J2" s="335"/>
      <c r="K2" s="18"/>
      <c r="L2" s="18"/>
      <c r="M2" s="18"/>
      <c r="N2" s="477" t="s">
        <v>2</v>
      </c>
      <c r="O2" s="18"/>
      <c r="P2" s="18"/>
      <c r="Q2" s="18"/>
      <c r="R2" s="18"/>
      <c r="S2" s="2" t="s">
        <v>3</v>
      </c>
    </row>
    <row r="3" spans="1:27" ht="46.5" customHeight="1">
      <c r="A3" s="560" t="s">
        <v>4</v>
      </c>
      <c r="B3" s="560"/>
      <c r="C3" s="560"/>
      <c r="D3" s="560"/>
      <c r="E3" s="560"/>
      <c r="F3" s="560"/>
      <c r="G3" s="560"/>
      <c r="H3" s="560"/>
      <c r="I3" s="290"/>
      <c r="J3" s="18"/>
      <c r="K3" s="18"/>
      <c r="L3" s="18"/>
      <c r="M3" s="18"/>
      <c r="N3" s="477" t="s">
        <v>2</v>
      </c>
      <c r="O3" s="18"/>
      <c r="P3" s="18"/>
      <c r="Q3" s="18"/>
      <c r="R3" s="18"/>
    </row>
    <row r="4" spans="1:27" s="7" customFormat="1" ht="24.75" customHeight="1">
      <c r="A4" s="32"/>
      <c r="B4" s="32"/>
      <c r="C4" s="32"/>
      <c r="D4" s="18"/>
      <c r="E4" s="18"/>
      <c r="F4" s="18"/>
      <c r="G4" s="32"/>
      <c r="H4" s="276" t="s">
        <v>5</v>
      </c>
      <c r="I4" s="63"/>
      <c r="J4" s="18"/>
      <c r="K4" s="18"/>
      <c r="L4" s="18"/>
      <c r="M4" s="18"/>
      <c r="N4" s="477" t="s">
        <v>2</v>
      </c>
      <c r="O4" s="18"/>
      <c r="P4" s="18"/>
      <c r="Q4" s="18"/>
      <c r="R4" s="18"/>
      <c r="S4" s="292"/>
    </row>
    <row r="5" spans="1:27" s="5" customFormat="1" ht="17.25" customHeight="1">
      <c r="A5" s="34" t="s">
        <v>6</v>
      </c>
      <c r="B5" s="126" t="s">
        <v>7</v>
      </c>
      <c r="C5" s="561" t="s">
        <v>8</v>
      </c>
      <c r="D5" s="562"/>
      <c r="E5" s="562"/>
      <c r="F5" s="562"/>
      <c r="G5" s="562"/>
      <c r="H5" s="188"/>
      <c r="I5" s="87"/>
      <c r="J5" s="19"/>
      <c r="K5" s="19"/>
      <c r="L5" s="19"/>
      <c r="M5" s="19"/>
      <c r="N5" s="19"/>
      <c r="O5" s="19"/>
      <c r="P5" s="19"/>
      <c r="Q5" s="19"/>
      <c r="R5" s="19"/>
      <c r="S5" s="293"/>
    </row>
    <row r="6" spans="1:27" s="5" customFormat="1" ht="24.75" customHeight="1">
      <c r="A6" s="34" t="s">
        <v>9</v>
      </c>
      <c r="B6" s="35" t="s">
        <v>10</v>
      </c>
      <c r="C6" s="561" t="s">
        <v>11</v>
      </c>
      <c r="D6" s="562"/>
      <c r="E6" s="562"/>
      <c r="F6" s="562"/>
      <c r="G6" s="562"/>
      <c r="H6" s="280"/>
      <c r="I6" s="87"/>
      <c r="J6" s="19"/>
      <c r="K6" s="19"/>
      <c r="L6" s="19"/>
      <c r="M6" s="19"/>
      <c r="N6" s="19"/>
      <c r="O6" s="19"/>
      <c r="P6" s="19"/>
      <c r="Q6" s="19"/>
      <c r="R6" s="19"/>
      <c r="S6" s="293"/>
    </row>
    <row r="7" spans="1:27" ht="17.25" customHeight="1">
      <c r="A7" s="34" t="s">
        <v>12</v>
      </c>
      <c r="B7" s="35" t="s">
        <v>13</v>
      </c>
      <c r="C7" s="561" t="s">
        <v>14</v>
      </c>
      <c r="D7" s="562"/>
      <c r="E7" s="562"/>
      <c r="F7" s="562"/>
      <c r="G7" s="562"/>
      <c r="H7" s="188" t="s">
        <v>2</v>
      </c>
      <c r="I7" s="87"/>
      <c r="J7" s="20"/>
      <c r="K7" s="20"/>
      <c r="L7" s="20"/>
      <c r="M7" s="20"/>
      <c r="N7" s="20"/>
      <c r="O7" s="20"/>
      <c r="P7" s="20"/>
      <c r="Q7" s="20"/>
      <c r="R7" s="18"/>
    </row>
    <row r="8" spans="1:27" ht="9.75" customHeight="1" thickBot="1">
      <c r="A8" s="34"/>
      <c r="B8" s="36"/>
      <c r="C8" s="501"/>
      <c r="D8" s="502"/>
      <c r="E8" s="502"/>
      <c r="F8" s="502"/>
      <c r="G8" s="502"/>
      <c r="H8" s="187"/>
      <c r="I8" s="87"/>
      <c r="J8" s="20"/>
      <c r="K8" s="20"/>
      <c r="L8" s="20"/>
      <c r="M8" s="20"/>
      <c r="N8" s="20"/>
      <c r="O8" s="20"/>
      <c r="P8" s="20"/>
      <c r="Q8" s="20"/>
      <c r="R8" s="18"/>
    </row>
    <row r="9" spans="1:27" s="76" customFormat="1" ht="27" customHeight="1">
      <c r="A9" s="85" t="s">
        <v>15</v>
      </c>
      <c r="B9" s="88"/>
      <c r="C9" s="79" t="s">
        <v>16</v>
      </c>
      <c r="D9" s="563">
        <f>SUM(D21,D96,D153,D188,D220,D277)</f>
        <v>0</v>
      </c>
      <c r="E9" s="564"/>
      <c r="F9" s="565"/>
      <c r="G9" s="86" t="s">
        <v>17</v>
      </c>
      <c r="H9" s="272">
        <f>SUM(H21,H96,H153,H188,H220,H277)</f>
        <v>200</v>
      </c>
      <c r="I9" s="73"/>
      <c r="J9" s="33"/>
      <c r="K9" s="33"/>
      <c r="L9" s="78"/>
      <c r="M9" s="78"/>
      <c r="N9" s="78"/>
      <c r="O9" s="78"/>
      <c r="P9" s="78"/>
      <c r="Q9" s="78"/>
      <c r="R9" s="77"/>
      <c r="S9" s="294"/>
      <c r="T9" s="76" t="s">
        <v>2</v>
      </c>
    </row>
    <row r="10" spans="1:27" s="77" customFormat="1" ht="27" customHeight="1" thickTop="1">
      <c r="A10" s="321"/>
      <c r="B10" s="322"/>
      <c r="C10" s="323"/>
      <c r="D10" s="328"/>
      <c r="E10" s="328"/>
      <c r="F10" s="328"/>
      <c r="G10" s="324"/>
      <c r="H10" s="329"/>
      <c r="I10" s="73"/>
      <c r="J10" s="33"/>
      <c r="K10" s="33"/>
      <c r="L10" s="78"/>
      <c r="M10" s="78"/>
      <c r="N10" s="78"/>
      <c r="O10" s="78"/>
      <c r="P10" s="78"/>
      <c r="Q10" s="78"/>
      <c r="S10" s="325"/>
    </row>
    <row r="11" spans="1:27" s="76" customFormat="1" ht="50.25" customHeight="1">
      <c r="A11" s="313" t="s">
        <v>18</v>
      </c>
      <c r="B11" s="314" t="s">
        <v>19</v>
      </c>
      <c r="C11" s="314" t="s">
        <v>20</v>
      </c>
      <c r="D11" s="314"/>
      <c r="E11" s="314"/>
      <c r="F11" s="314"/>
      <c r="G11" s="314" t="s">
        <v>21</v>
      </c>
      <c r="H11" s="314"/>
      <c r="I11" s="73"/>
      <c r="J11" s="336"/>
      <c r="K11" s="33"/>
      <c r="L11" s="78"/>
      <c r="M11" s="77"/>
      <c r="N11" s="77" t="s">
        <v>2</v>
      </c>
      <c r="O11" s="77"/>
      <c r="P11" s="77"/>
      <c r="Q11" s="77"/>
      <c r="R11" s="77"/>
      <c r="S11" s="294"/>
    </row>
    <row r="12" spans="1:27" s="66" customFormat="1" ht="29.25" customHeight="1">
      <c r="A12" s="397" t="s">
        <v>22</v>
      </c>
      <c r="B12" s="396"/>
      <c r="C12" s="395"/>
      <c r="D12" s="394"/>
      <c r="E12" s="396"/>
      <c r="F12" s="399"/>
      <c r="G12" s="393"/>
      <c r="H12" s="392"/>
      <c r="I12" s="493"/>
      <c r="J12" s="53"/>
      <c r="K12" s="67"/>
      <c r="L12" s="67"/>
      <c r="M12" s="67"/>
      <c r="N12" s="67" t="s">
        <v>2</v>
      </c>
      <c r="O12" s="67"/>
      <c r="P12" s="67"/>
      <c r="Q12" s="67"/>
      <c r="R12" s="67"/>
    </row>
    <row r="13" spans="1:27" s="66" customFormat="1" ht="29.25" customHeight="1">
      <c r="A13" s="458" t="s">
        <v>23</v>
      </c>
      <c r="B13" s="398" t="s">
        <v>24</v>
      </c>
      <c r="C13" s="101" t="s">
        <v>25</v>
      </c>
      <c r="D13" s="571" t="str">
        <f>IF(C13="Select Yes or No","",IF(C13="Yes","Project Qualifies to complete scoring","Proceed to next question"))</f>
        <v/>
      </c>
      <c r="E13" s="572"/>
      <c r="F13" s="572"/>
      <c r="G13" s="400"/>
      <c r="H13" s="401"/>
      <c r="I13" s="493"/>
      <c r="J13" s="53"/>
      <c r="K13" s="67"/>
      <c r="L13" s="67"/>
      <c r="M13" s="67"/>
      <c r="N13" s="477" t="s">
        <v>2</v>
      </c>
      <c r="O13" s="67"/>
      <c r="P13" s="67"/>
      <c r="Q13" s="67"/>
      <c r="R13" s="67"/>
    </row>
    <row r="14" spans="1:27" s="66" customFormat="1" ht="29.25" customHeight="1">
      <c r="A14" s="458" t="s">
        <v>26</v>
      </c>
      <c r="B14" s="398" t="s">
        <v>27</v>
      </c>
      <c r="C14" s="101" t="s">
        <v>25</v>
      </c>
      <c r="D14" s="571" t="str">
        <f>IF(C14="Select Yes or No","",IF(C14="Yes","Project Qualifies to complete scoring","Verify Project Type"))</f>
        <v/>
      </c>
      <c r="E14" s="572"/>
      <c r="F14" s="572"/>
      <c r="G14" s="400"/>
      <c r="H14" s="401"/>
      <c r="I14" s="493"/>
      <c r="J14" s="53"/>
      <c r="K14" s="67"/>
      <c r="L14" s="67"/>
      <c r="M14" s="67"/>
      <c r="N14" s="478" t="s">
        <v>2</v>
      </c>
      <c r="O14" s="67"/>
      <c r="P14" s="67"/>
      <c r="Q14" s="67"/>
      <c r="R14" s="67"/>
    </row>
    <row r="15" spans="1:27" s="66" customFormat="1" ht="18" customHeight="1">
      <c r="A15" s="42" t="s">
        <v>28</v>
      </c>
      <c r="B15" s="189"/>
      <c r="C15" s="191"/>
      <c r="D15" s="503"/>
      <c r="E15" s="503"/>
      <c r="F15" s="483"/>
      <c r="G15" s="503"/>
      <c r="H15" s="206"/>
      <c r="I15" s="24"/>
      <c r="J15" s="100"/>
      <c r="K15" s="67"/>
      <c r="L15" s="67"/>
      <c r="M15" s="67"/>
      <c r="N15" s="67"/>
      <c r="O15" s="67"/>
      <c r="P15" s="67"/>
      <c r="Q15" s="67"/>
      <c r="R15" s="67"/>
      <c r="S15" s="331"/>
    </row>
    <row r="16" spans="1:27" s="66" customFormat="1" ht="29.25" customHeight="1">
      <c r="A16" s="457" t="s">
        <v>29</v>
      </c>
      <c r="B16" s="334" t="s">
        <v>30</v>
      </c>
      <c r="C16" s="101" t="s">
        <v>25</v>
      </c>
      <c r="D16" s="512" t="str">
        <f>IF(C16="SELECT YES OR NO","",IF((AND(C16="Yes")),"Progress to Next Question","Please complete training at RTSHSD.org"))</f>
        <v/>
      </c>
      <c r="E16" s="513"/>
      <c r="F16" s="513"/>
      <c r="G16" s="513"/>
      <c r="H16" s="514"/>
      <c r="I16" s="29"/>
      <c r="J16" s="330"/>
      <c r="K16" s="67"/>
      <c r="L16" s="67"/>
      <c r="M16" s="67"/>
      <c r="N16" s="479" t="s">
        <v>2</v>
      </c>
      <c r="O16" s="67"/>
      <c r="P16" s="67"/>
      <c r="Q16" s="67"/>
      <c r="R16" s="67"/>
      <c r="S16" s="331"/>
      <c r="W16" s="515"/>
      <c r="X16" s="516"/>
      <c r="Y16" s="516"/>
      <c r="Z16" s="516"/>
      <c r="AA16" s="517"/>
    </row>
    <row r="17" spans="1:22" s="76" customFormat="1" ht="30.75" customHeight="1">
      <c r="A17" s="42" t="s">
        <v>31</v>
      </c>
      <c r="B17" s="189"/>
      <c r="C17" s="191"/>
      <c r="D17" s="503" t="s">
        <v>2</v>
      </c>
      <c r="E17" s="503"/>
      <c r="F17" s="483"/>
      <c r="G17" s="503"/>
      <c r="H17" s="206"/>
      <c r="I17" s="73"/>
      <c r="J17" s="336"/>
      <c r="K17" s="33"/>
      <c r="L17" s="78"/>
      <c r="M17" s="78"/>
      <c r="N17" s="78"/>
      <c r="O17" s="78"/>
      <c r="P17" s="78"/>
      <c r="Q17" s="78"/>
      <c r="R17" s="77"/>
      <c r="S17" s="294"/>
    </row>
    <row r="18" spans="1:22" s="76" customFormat="1" ht="30.75" customHeight="1">
      <c r="A18" s="481" t="s">
        <v>32</v>
      </c>
      <c r="B18" s="482" t="s">
        <v>33</v>
      </c>
      <c r="C18" s="101" t="s">
        <v>25</v>
      </c>
      <c r="D18" s="512" t="str">
        <f>IF(C18="Select yes or No", "", "TH entry not currently required")</f>
        <v/>
      </c>
      <c r="E18" s="513"/>
      <c r="F18" s="513"/>
      <c r="G18" s="513"/>
      <c r="H18" s="514"/>
      <c r="I18" s="73"/>
      <c r="J18" s="336"/>
      <c r="K18" s="33"/>
      <c r="L18" s="78"/>
      <c r="M18" s="78"/>
      <c r="N18" s="78"/>
      <c r="O18" s="78"/>
      <c r="P18" s="78"/>
      <c r="Q18" s="78"/>
      <c r="R18" s="77"/>
      <c r="S18" s="294"/>
    </row>
    <row r="19" spans="1:22" s="76" customFormat="1" ht="30.75" customHeight="1">
      <c r="A19" s="482" t="s">
        <v>34</v>
      </c>
      <c r="B19" s="482" t="s">
        <v>35</v>
      </c>
      <c r="C19" s="101" t="s">
        <v>25</v>
      </c>
      <c r="D19" s="512" t="str">
        <f>IF(C19="Select Yes or No","",IF((AND(C16="yes",C19="yes")),"TH Progress to Section 1","Required when CES is TH ready "))</f>
        <v/>
      </c>
      <c r="E19" s="513"/>
      <c r="F19" s="513"/>
      <c r="G19" s="513"/>
      <c r="H19" s="514"/>
      <c r="I19" s="73"/>
      <c r="J19" s="336"/>
      <c r="K19" s="33"/>
      <c r="L19" s="78"/>
      <c r="M19" s="78"/>
      <c r="N19" s="78"/>
      <c r="O19" s="78"/>
      <c r="P19" s="78"/>
      <c r="Q19" s="78"/>
      <c r="R19" s="77"/>
      <c r="S19" s="294"/>
    </row>
    <row r="20" spans="1:22" s="76" customFormat="1" ht="30.75" customHeight="1" thickBot="1">
      <c r="A20" s="74"/>
      <c r="B20" s="73"/>
      <c r="C20" s="72"/>
      <c r="D20" s="326"/>
      <c r="E20" s="326"/>
      <c r="F20" s="326"/>
      <c r="G20" s="71"/>
      <c r="H20" s="327"/>
      <c r="I20" s="73"/>
      <c r="J20" s="336"/>
      <c r="K20" s="33"/>
      <c r="L20" s="78"/>
      <c r="M20" s="78"/>
      <c r="N20" s="78"/>
      <c r="O20" s="78"/>
      <c r="P20" s="78"/>
      <c r="Q20" s="78"/>
      <c r="R20" s="77"/>
      <c r="S20" s="294"/>
    </row>
    <row r="21" spans="1:22" s="76" customFormat="1" ht="51.75" customHeight="1" thickTop="1" thickBot="1">
      <c r="A21" s="133" t="s">
        <v>36</v>
      </c>
      <c r="B21" s="80"/>
      <c r="C21" s="75" t="s">
        <v>37</v>
      </c>
      <c r="D21" s="535">
        <f>SUM(D23+D34+D39+D47+D55+D63+D71+D78+D85)</f>
        <v>0</v>
      </c>
      <c r="E21" s="536"/>
      <c r="F21" s="537"/>
      <c r="G21" s="75" t="s">
        <v>17</v>
      </c>
      <c r="H21" s="240">
        <f>SUM(H23+H34+H39+H47+H55+H63+H71+H78+H85)</f>
        <v>93</v>
      </c>
      <c r="I21" s="73"/>
      <c r="J21" s="333"/>
      <c r="K21" s="33"/>
      <c r="L21" s="78"/>
      <c r="M21" s="78"/>
      <c r="N21" s="78"/>
      <c r="O21" s="78"/>
      <c r="P21" s="78"/>
      <c r="Q21" s="78"/>
      <c r="R21" s="77"/>
      <c r="S21" s="307" t="s">
        <v>38</v>
      </c>
    </row>
    <row r="22" spans="1:22" s="66" customFormat="1" ht="85.5" customHeight="1" thickTop="1">
      <c r="A22" s="493" t="s">
        <v>39</v>
      </c>
      <c r="B22" s="493" t="s">
        <v>40</v>
      </c>
      <c r="C22" s="493" t="s">
        <v>41</v>
      </c>
      <c r="D22" s="538" t="s">
        <v>42</v>
      </c>
      <c r="E22" s="538"/>
      <c r="F22" s="538"/>
      <c r="G22" s="493" t="s">
        <v>43</v>
      </c>
      <c r="H22" s="186" t="s">
        <v>44</v>
      </c>
      <c r="I22" s="493"/>
      <c r="J22" s="53" t="s">
        <v>45</v>
      </c>
      <c r="K22" s="99"/>
      <c r="L22" s="99"/>
      <c r="M22" s="99"/>
      <c r="N22" s="99"/>
      <c r="O22" s="99"/>
      <c r="P22" s="99"/>
      <c r="Q22" s="99"/>
      <c r="R22" s="67"/>
      <c r="S22" s="295"/>
    </row>
    <row r="23" spans="1:22" s="68" customFormat="1" ht="67.5" customHeight="1">
      <c r="A23" s="566" t="s">
        <v>46</v>
      </c>
      <c r="B23" s="567"/>
      <c r="C23" s="190" t="s">
        <v>47</v>
      </c>
      <c r="D23" s="503">
        <f>SUM(G24:G29)</f>
        <v>0</v>
      </c>
      <c r="E23" s="189"/>
      <c r="F23" s="189"/>
      <c r="G23" s="190" t="s">
        <v>17</v>
      </c>
      <c r="H23" s="206">
        <v>37</v>
      </c>
      <c r="I23" s="62"/>
      <c r="J23" s="81"/>
      <c r="K23" s="81"/>
      <c r="L23" s="65"/>
      <c r="M23" s="65"/>
      <c r="N23" s="65"/>
      <c r="O23" s="65"/>
      <c r="P23" s="65"/>
      <c r="Q23" s="65"/>
      <c r="R23" s="69"/>
      <c r="S23" s="296" t="s">
        <v>48</v>
      </c>
    </row>
    <row r="24" spans="1:22" ht="25.5" customHeight="1">
      <c r="A24" s="154" t="s">
        <v>49</v>
      </c>
      <c r="B24" s="155" t="s">
        <v>50</v>
      </c>
      <c r="C24" s="278" t="s">
        <v>2</v>
      </c>
      <c r="D24" s="459">
        <v>0</v>
      </c>
      <c r="E24" s="460" t="s">
        <v>51</v>
      </c>
      <c r="F24" s="461">
        <f>J26</f>
        <v>0.47</v>
      </c>
      <c r="G24" s="129">
        <f>IF(C30=0,"",IF($F$24&gt;($C$32),H24,""))</f>
        <v>0</v>
      </c>
      <c r="H24" s="245">
        <v>0</v>
      </c>
      <c r="I24" s="31"/>
      <c r="J24" s="510"/>
      <c r="K24" s="510"/>
      <c r="L24" s="510"/>
      <c r="M24" s="510"/>
      <c r="N24" s="510"/>
      <c r="O24" s="510"/>
      <c r="P24" s="510"/>
      <c r="Q24" s="20"/>
      <c r="R24" s="18"/>
      <c r="V24" s="123" t="s">
        <v>2</v>
      </c>
    </row>
    <row r="25" spans="1:22" ht="25.5" customHeight="1">
      <c r="A25" s="159" t="s">
        <v>52</v>
      </c>
      <c r="B25" s="154" t="s">
        <v>53</v>
      </c>
      <c r="C25" s="278" t="s">
        <v>2</v>
      </c>
      <c r="D25" s="459">
        <f>F24</f>
        <v>0.47</v>
      </c>
      <c r="E25" s="460" t="s">
        <v>54</v>
      </c>
      <c r="F25" s="461">
        <f>D25+$J$27</f>
        <v>0.57599999999999996</v>
      </c>
      <c r="G25" s="391" t="str">
        <f>IF(C30=0,"",IF(OR(D25=$C$32,AND(D25&lt;$C$32, F25&gt;$C$32)),H25,""))</f>
        <v/>
      </c>
      <c r="H25" s="245">
        <f>H24+J$29</f>
        <v>7.4</v>
      </c>
      <c r="I25" s="61"/>
      <c r="J25" s="27" t="s">
        <v>2</v>
      </c>
      <c r="K25" s="510" t="s">
        <v>2</v>
      </c>
      <c r="L25" s="23"/>
      <c r="M25" s="23"/>
      <c r="N25" s="510"/>
      <c r="O25" s="510"/>
      <c r="P25" s="510"/>
      <c r="Q25" s="20"/>
      <c r="R25" s="18"/>
    </row>
    <row r="26" spans="1:22" ht="25.5" customHeight="1">
      <c r="A26" s="154" t="s">
        <v>55</v>
      </c>
      <c r="B26" s="155" t="s">
        <v>56</v>
      </c>
      <c r="C26" s="278" t="s">
        <v>2</v>
      </c>
      <c r="D26" s="459">
        <f t="shared" ref="D26:D29" si="0">F25</f>
        <v>0.57599999999999996</v>
      </c>
      <c r="E26" s="460" t="s">
        <v>57</v>
      </c>
      <c r="F26" s="461">
        <f t="shared" ref="F26:F28" si="1">D26+$J$27</f>
        <v>0.68199999999999994</v>
      </c>
      <c r="G26" s="391" t="str">
        <f>IF(C30=0,"",IF(OR(D26=$C$32,AND(D26&lt;$C$32, F26&gt;$C$32)),H26,""))</f>
        <v/>
      </c>
      <c r="H26" s="245">
        <f>H25+J$29</f>
        <v>14.8</v>
      </c>
      <c r="I26" s="61"/>
      <c r="J26" s="22">
        <v>0.47</v>
      </c>
      <c r="K26" s="510" t="s">
        <v>58</v>
      </c>
      <c r="L26" s="23"/>
      <c r="M26" s="23"/>
      <c r="N26" s="510"/>
      <c r="O26" s="510"/>
      <c r="P26" s="510"/>
      <c r="Q26" s="20"/>
      <c r="R26" s="18"/>
    </row>
    <row r="27" spans="1:22" ht="25.5" customHeight="1">
      <c r="A27" s="154" t="s">
        <v>59</v>
      </c>
      <c r="B27" s="154" t="s">
        <v>60</v>
      </c>
      <c r="C27" s="278" t="s">
        <v>2</v>
      </c>
      <c r="D27" s="459">
        <f t="shared" si="0"/>
        <v>0.68199999999999994</v>
      </c>
      <c r="E27" s="460" t="s">
        <v>54</v>
      </c>
      <c r="F27" s="461">
        <f t="shared" si="1"/>
        <v>0.78799999999999992</v>
      </c>
      <c r="G27" s="391" t="str">
        <f>IF(C30=0,"",IF(OR(D27=$C$32,AND(D27&lt;$C$32, F27&gt;$C$32)),H27,""))</f>
        <v/>
      </c>
      <c r="H27" s="245">
        <f>H26+J$29</f>
        <v>22.200000000000003</v>
      </c>
      <c r="I27" s="61"/>
      <c r="J27" s="22">
        <f>(1-J26)/5</f>
        <v>0.10600000000000001</v>
      </c>
      <c r="K27" s="510" t="s">
        <v>61</v>
      </c>
      <c r="L27" s="23"/>
      <c r="M27" s="23"/>
      <c r="N27" s="510"/>
      <c r="O27" s="510"/>
      <c r="P27" s="510"/>
      <c r="Q27" s="20"/>
      <c r="R27" s="18"/>
    </row>
    <row r="28" spans="1:22" ht="25.5" customHeight="1">
      <c r="A28" s="154" t="s">
        <v>62</v>
      </c>
      <c r="B28" s="154" t="s">
        <v>63</v>
      </c>
      <c r="C28" s="278" t="s">
        <v>2</v>
      </c>
      <c r="D28" s="459">
        <f t="shared" si="0"/>
        <v>0.78799999999999992</v>
      </c>
      <c r="E28" s="460" t="s">
        <v>54</v>
      </c>
      <c r="F28" s="461">
        <f t="shared" si="1"/>
        <v>0.89399999999999991</v>
      </c>
      <c r="G28" s="391" t="str">
        <f>IF(C30=0,"",IF(OR(D28=$C$32,AND(D28&lt;$C$32, F28&gt;$C$32)),H28,""))</f>
        <v/>
      </c>
      <c r="H28" s="245">
        <f>H27+J$29</f>
        <v>29.6</v>
      </c>
      <c r="I28" s="61"/>
      <c r="J28" s="24">
        <f>H23</f>
        <v>37</v>
      </c>
      <c r="K28" s="510" t="s">
        <v>64</v>
      </c>
      <c r="L28" s="23"/>
      <c r="M28" s="23"/>
      <c r="N28" s="510"/>
      <c r="O28" s="510"/>
      <c r="P28" s="510"/>
      <c r="Q28" s="20"/>
      <c r="R28" s="18"/>
    </row>
    <row r="29" spans="1:22" ht="18.75" customHeight="1">
      <c r="A29" s="568" t="s">
        <v>65</v>
      </c>
      <c r="B29" s="568"/>
      <c r="C29" s="281">
        <f>SUM(C25:C28)</f>
        <v>0</v>
      </c>
      <c r="D29" s="459">
        <f t="shared" si="0"/>
        <v>0.89399999999999991</v>
      </c>
      <c r="E29" s="460" t="s">
        <v>66</v>
      </c>
      <c r="F29" s="465"/>
      <c r="G29" s="281" t="str">
        <f>IF(COUNT(C32)=0,"",IF(OR(D29=C32,D29&lt;C32),H29,""))</f>
        <v/>
      </c>
      <c r="H29" s="245">
        <f>H28+J$29</f>
        <v>37</v>
      </c>
      <c r="I29" s="61"/>
      <c r="J29" s="24">
        <f>H23/5</f>
        <v>7.4</v>
      </c>
      <c r="K29" s="510" t="s">
        <v>67</v>
      </c>
      <c r="L29" s="23"/>
      <c r="M29" s="23"/>
      <c r="N29" s="510"/>
      <c r="O29" s="510"/>
      <c r="P29" s="510"/>
      <c r="Q29" s="20"/>
      <c r="R29" s="18"/>
    </row>
    <row r="30" spans="1:22" ht="17.100000000000001" customHeight="1">
      <c r="A30" s="568" t="s">
        <v>68</v>
      </c>
      <c r="B30" s="568"/>
      <c r="C30" s="281" t="str">
        <f>IF(COUNT(C24)= 0,"",SUM(C24-C29))</f>
        <v/>
      </c>
      <c r="D30" s="484" t="str">
        <f>C$30</f>
        <v/>
      </c>
      <c r="E30" s="20"/>
      <c r="F30" s="20"/>
      <c r="G30" s="193"/>
      <c r="H30" s="185"/>
      <c r="I30" s="193"/>
      <c r="J30" s="20"/>
      <c r="K30" s="20"/>
      <c r="L30" s="20"/>
      <c r="M30" s="20"/>
      <c r="N30" s="20"/>
      <c r="O30" s="20"/>
      <c r="P30" s="20"/>
      <c r="Q30" s="20"/>
      <c r="R30" s="18"/>
    </row>
    <row r="31" spans="1:22" ht="17.100000000000001" customHeight="1">
      <c r="A31" s="211" t="s">
        <v>69</v>
      </c>
      <c r="B31" s="211" t="s">
        <v>70</v>
      </c>
      <c r="C31" s="278" t="s">
        <v>2</v>
      </c>
      <c r="D31" s="20"/>
      <c r="E31" s="20"/>
      <c r="F31" s="20"/>
      <c r="G31" s="193"/>
      <c r="H31" s="286"/>
      <c r="I31" s="287"/>
      <c r="J31" s="20"/>
      <c r="K31" s="20"/>
      <c r="L31" s="20"/>
      <c r="M31" s="20"/>
      <c r="N31" s="20"/>
      <c r="O31" s="20"/>
      <c r="P31" s="83" t="s">
        <v>2</v>
      </c>
      <c r="Q31" s="20"/>
      <c r="R31" s="18"/>
    </row>
    <row r="32" spans="1:22">
      <c r="A32" s="568" t="s">
        <v>71</v>
      </c>
      <c r="B32" s="568"/>
      <c r="C32" s="614">
        <f>IFERROR(C31/C30,0)</f>
        <v>0</v>
      </c>
      <c r="D32" s="20"/>
      <c r="E32" s="20"/>
      <c r="F32" s="20"/>
      <c r="G32" s="193"/>
      <c r="I32" s="287"/>
      <c r="J32" s="476"/>
      <c r="K32" s="476"/>
      <c r="L32" s="476"/>
      <c r="M32" s="476"/>
      <c r="N32" s="20"/>
      <c r="O32" s="476"/>
      <c r="P32" s="83" t="s">
        <v>2</v>
      </c>
      <c r="Q32" s="20"/>
      <c r="R32" s="18"/>
      <c r="S32" s="306" t="s">
        <v>72</v>
      </c>
    </row>
    <row r="33" spans="1:19" ht="15">
      <c r="A33" s="148"/>
      <c r="B33" s="148"/>
      <c r="C33" s="305"/>
      <c r="D33" s="20"/>
      <c r="E33" s="20"/>
      <c r="F33" s="20"/>
      <c r="G33" s="193"/>
      <c r="H33" s="286"/>
      <c r="I33" s="287"/>
      <c r="J33" s="20"/>
      <c r="L33" s="20"/>
      <c r="M33" s="20"/>
      <c r="N33" s="20"/>
      <c r="O33" s="20"/>
      <c r="P33" s="83"/>
      <c r="Q33" s="20"/>
      <c r="R33" s="18"/>
    </row>
    <row r="34" spans="1:19" s="68" customFormat="1" ht="67.5" customHeight="1">
      <c r="A34" s="566" t="s">
        <v>73</v>
      </c>
      <c r="B34" s="567"/>
      <c r="C34" s="190" t="s">
        <v>47</v>
      </c>
      <c r="D34" s="38">
        <f>IF(OR(SUM(C36:C37)=5,SUM(C36:C37)=10),H34,0)</f>
        <v>0</v>
      </c>
      <c r="E34" s="189"/>
      <c r="F34" s="189"/>
      <c r="G34" s="190" t="s">
        <v>17</v>
      </c>
      <c r="H34" s="206">
        <v>5</v>
      </c>
      <c r="I34" s="62"/>
      <c r="J34" s="339"/>
      <c r="K34" s="69"/>
      <c r="L34" s="65"/>
      <c r="M34" s="65"/>
      <c r="N34" s="65"/>
      <c r="O34" s="65"/>
      <c r="P34" s="65"/>
      <c r="Q34" s="65"/>
      <c r="R34" s="69"/>
      <c r="S34" s="296" t="s">
        <v>48</v>
      </c>
    </row>
    <row r="35" spans="1:19" ht="15">
      <c r="A35" s="308" t="s">
        <v>74</v>
      </c>
      <c r="B35" s="148" t="s">
        <v>75</v>
      </c>
      <c r="C35" s="343"/>
      <c r="D35" s="20"/>
      <c r="E35" s="20"/>
      <c r="F35" s="20"/>
      <c r="G35" s="193"/>
      <c r="H35" s="286"/>
      <c r="I35" s="287"/>
      <c r="J35" s="345"/>
      <c r="K35" s="18"/>
      <c r="L35" s="20"/>
      <c r="M35" s="20"/>
      <c r="N35" s="20"/>
      <c r="O35" s="20"/>
      <c r="P35" s="83"/>
      <c r="Q35" s="20"/>
      <c r="R35" s="18"/>
    </row>
    <row r="36" spans="1:19">
      <c r="A36" s="498" t="s">
        <v>76</v>
      </c>
      <c r="B36" s="498" t="s">
        <v>77</v>
      </c>
      <c r="C36" s="344" t="str">
        <f>IF(ISBLANK(C35),"",IF(AND(C32&gt;C35,C32-C35&gt;=0.1),5,0))</f>
        <v/>
      </c>
      <c r="D36" s="569" t="str">
        <f>IF(SUM(C36:C37)=10,"Even with both criteria met, max points possible are 5.","")</f>
        <v/>
      </c>
      <c r="E36" s="570"/>
      <c r="F36" s="570"/>
      <c r="G36" s="570"/>
      <c r="H36" s="570"/>
      <c r="I36" s="287"/>
      <c r="J36" s="20"/>
      <c r="K36" s="18"/>
      <c r="L36" s="20"/>
      <c r="M36" s="20"/>
      <c r="N36" s="20"/>
      <c r="O36" s="20"/>
      <c r="P36" s="83"/>
      <c r="Q36" s="20"/>
      <c r="R36" s="18"/>
      <c r="S36" s="306" t="s">
        <v>72</v>
      </c>
    </row>
    <row r="37" spans="1:19">
      <c r="A37" s="498" t="s">
        <v>78</v>
      </c>
      <c r="B37" s="498" t="s">
        <v>77</v>
      </c>
      <c r="C37" s="344" t="str">
        <f>IF(ISBLANK(C35),"",IF(AND(C32&gt;=0.9,(C35&gt;=0.9)),5,0))</f>
        <v/>
      </c>
      <c r="D37" s="569"/>
      <c r="E37" s="570"/>
      <c r="F37" s="570"/>
      <c r="G37" s="570"/>
      <c r="H37" s="570"/>
      <c r="I37" s="287"/>
      <c r="J37" s="20"/>
      <c r="K37" s="20"/>
      <c r="L37" s="20"/>
      <c r="M37" s="20"/>
      <c r="N37" s="20"/>
      <c r="O37" s="20"/>
      <c r="P37" s="83"/>
      <c r="Q37" s="20"/>
      <c r="R37" s="18"/>
      <c r="S37" s="306" t="s">
        <v>72</v>
      </c>
    </row>
    <row r="38" spans="1:19" ht="15">
      <c r="A38" s="148"/>
      <c r="B38" s="148"/>
      <c r="C38" s="305"/>
      <c r="D38" s="20"/>
      <c r="E38" s="20"/>
      <c r="F38" s="20"/>
      <c r="G38" s="193"/>
      <c r="H38" s="286"/>
      <c r="I38" s="287"/>
      <c r="J38" s="20"/>
      <c r="K38" s="20"/>
      <c r="L38" s="20"/>
      <c r="M38" s="20"/>
      <c r="N38" s="20"/>
      <c r="O38" s="20"/>
      <c r="P38" s="83"/>
      <c r="Q38" s="20"/>
      <c r="R38" s="18"/>
    </row>
    <row r="39" spans="1:19" s="7" customFormat="1" ht="15.95" customHeight="1">
      <c r="A39" s="42" t="s">
        <v>79</v>
      </c>
      <c r="B39" s="189"/>
      <c r="C39" s="191" t="s">
        <v>47</v>
      </c>
      <c r="D39" s="503">
        <f>SUM(G40:G45)</f>
        <v>0</v>
      </c>
      <c r="E39" s="189"/>
      <c r="F39" s="125"/>
      <c r="G39" s="190" t="s">
        <v>17</v>
      </c>
      <c r="H39" s="206">
        <v>15</v>
      </c>
      <c r="I39" s="70"/>
      <c r="J39" s="510"/>
      <c r="K39" s="510"/>
      <c r="L39" s="510"/>
      <c r="M39" s="510"/>
      <c r="N39" s="510"/>
      <c r="O39" s="510"/>
      <c r="P39" s="510"/>
      <c r="Q39" s="20"/>
      <c r="R39" s="18"/>
      <c r="S39" s="297"/>
    </row>
    <row r="40" spans="1:19" ht="12.75" customHeight="1">
      <c r="A40" s="557" t="s">
        <v>80</v>
      </c>
      <c r="B40" s="557" t="s">
        <v>81</v>
      </c>
      <c r="C40" s="558"/>
      <c r="D40" s="459">
        <v>0</v>
      </c>
      <c r="E40" s="460" t="s">
        <v>51</v>
      </c>
      <c r="F40" s="461">
        <f>J42</f>
        <v>0.4</v>
      </c>
      <c r="G40" s="281" t="str">
        <f>IF(ISBLANK(C40),"",IF(F40&gt;C40,H40,""))</f>
        <v/>
      </c>
      <c r="H40" s="245">
        <v>0</v>
      </c>
      <c r="I40" s="61"/>
      <c r="J40" s="510"/>
      <c r="K40" s="510"/>
      <c r="L40" s="510"/>
      <c r="M40" s="510"/>
      <c r="N40" s="510"/>
      <c r="O40" s="510"/>
      <c r="P40" s="510"/>
      <c r="Q40" s="20"/>
      <c r="R40" s="18"/>
    </row>
    <row r="41" spans="1:19" ht="12.75" customHeight="1">
      <c r="A41" s="557"/>
      <c r="B41" s="557"/>
      <c r="C41" s="559"/>
      <c r="D41" s="459">
        <f>F40</f>
        <v>0.4</v>
      </c>
      <c r="E41" s="460" t="s">
        <v>57</v>
      </c>
      <c r="F41" s="461">
        <f>D41+$J$43</f>
        <v>0.52</v>
      </c>
      <c r="G41" s="281" t="str">
        <f>IF(OR(D41=$C$40,AND(D41&lt;$C$40, F41&gt;$C$40)),H41,"")</f>
        <v/>
      </c>
      <c r="H41" s="245">
        <f>H40+J$45</f>
        <v>3</v>
      </c>
      <c r="I41" s="61"/>
      <c r="J41" s="27">
        <v>0.8</v>
      </c>
      <c r="K41" s="510" t="s">
        <v>82</v>
      </c>
      <c r="L41" s="23"/>
      <c r="M41" s="23"/>
      <c r="N41" s="510"/>
      <c r="O41" s="510"/>
      <c r="P41" s="510"/>
      <c r="Q41" s="20"/>
      <c r="R41" s="18"/>
    </row>
    <row r="42" spans="1:19">
      <c r="A42" s="51"/>
      <c r="B42" s="49"/>
      <c r="C42" s="59"/>
      <c r="D42" s="459">
        <f t="shared" ref="D42:D45" si="2">F41</f>
        <v>0.52</v>
      </c>
      <c r="E42" s="460" t="s">
        <v>57</v>
      </c>
      <c r="F42" s="461">
        <f t="shared" ref="F42:F44" si="3">D42+$J$43</f>
        <v>0.64</v>
      </c>
      <c r="G42" s="281" t="str">
        <f>IF(OR(D42=$C$40,AND(D42&lt;$C$40, F42&gt;$C$40)),H42,"")</f>
        <v/>
      </c>
      <c r="H42" s="245">
        <f>H41+J$45</f>
        <v>6</v>
      </c>
      <c r="I42" s="61"/>
      <c r="J42" s="22">
        <f>0.5*J41</f>
        <v>0.4</v>
      </c>
      <c r="K42" s="510" t="s">
        <v>83</v>
      </c>
      <c r="L42" s="23"/>
      <c r="M42" s="23"/>
      <c r="N42" s="510"/>
      <c r="O42" s="510"/>
      <c r="P42" s="510"/>
      <c r="Q42" s="20"/>
      <c r="R42" s="18"/>
    </row>
    <row r="43" spans="1:19">
      <c r="A43" s="84"/>
      <c r="B43" s="192"/>
      <c r="C43" s="59"/>
      <c r="D43" s="459">
        <f t="shared" si="2"/>
        <v>0.64</v>
      </c>
      <c r="E43" s="460" t="s">
        <v>57</v>
      </c>
      <c r="F43" s="461">
        <f t="shared" si="3"/>
        <v>0.76</v>
      </c>
      <c r="G43" s="281" t="str">
        <f>IF(OR(D43=$C$40,AND(D43&lt;$C$40, F43&gt;$C$40)),H43,"")</f>
        <v/>
      </c>
      <c r="H43" s="245">
        <f>H42+J$45</f>
        <v>9</v>
      </c>
      <c r="I43" s="61"/>
      <c r="J43" s="22">
        <f>(1-J42)/5</f>
        <v>0.12</v>
      </c>
      <c r="K43" s="510" t="s">
        <v>84</v>
      </c>
      <c r="L43" s="23"/>
      <c r="M43" s="23"/>
      <c r="N43" s="510"/>
      <c r="O43" s="510"/>
      <c r="P43" s="510"/>
      <c r="Q43" s="20"/>
      <c r="R43" s="18"/>
    </row>
    <row r="44" spans="1:19">
      <c r="A44" s="84"/>
      <c r="B44" s="192"/>
      <c r="C44" s="52"/>
      <c r="D44" s="459">
        <f t="shared" si="2"/>
        <v>0.76</v>
      </c>
      <c r="E44" s="460" t="s">
        <v>57</v>
      </c>
      <c r="F44" s="461">
        <f t="shared" si="3"/>
        <v>0.88</v>
      </c>
      <c r="G44" s="281" t="str">
        <f>IF(OR(D44=$C$40,AND(D44&lt;$C$40, F44&gt;$C$40)),H44,"")</f>
        <v/>
      </c>
      <c r="H44" s="245">
        <f>H43+J$45</f>
        <v>12</v>
      </c>
      <c r="I44" s="61"/>
      <c r="J44" s="24">
        <f>H39</f>
        <v>15</v>
      </c>
      <c r="K44" s="510" t="s">
        <v>64</v>
      </c>
      <c r="L44" s="23"/>
      <c r="M44" s="23"/>
      <c r="N44" s="510"/>
      <c r="O44" s="510"/>
      <c r="P44" s="510"/>
      <c r="Q44" s="20"/>
      <c r="R44" s="18"/>
    </row>
    <row r="45" spans="1:19">
      <c r="A45" s="84"/>
      <c r="B45" s="192"/>
      <c r="C45" s="52"/>
      <c r="D45" s="459">
        <f t="shared" si="2"/>
        <v>0.88</v>
      </c>
      <c r="E45" s="460" t="s">
        <v>85</v>
      </c>
      <c r="F45" s="461"/>
      <c r="G45" s="281" t="str">
        <f>IF(ISBLANK(C40),"",IF(OR(D45=C40,D45&lt;C40),H45,""))</f>
        <v/>
      </c>
      <c r="H45" s="245">
        <f>H44+J$45</f>
        <v>15</v>
      </c>
      <c r="I45" s="61"/>
      <c r="J45" s="25">
        <f>J44/5</f>
        <v>3</v>
      </c>
      <c r="K45" s="510" t="s">
        <v>67</v>
      </c>
      <c r="L45" s="23"/>
      <c r="M45" s="23"/>
      <c r="N45" s="510"/>
      <c r="O45" s="510"/>
      <c r="P45" s="510"/>
      <c r="Q45" s="20"/>
      <c r="R45" s="18"/>
    </row>
    <row r="46" spans="1:19">
      <c r="A46" s="84"/>
      <c r="B46" s="192"/>
      <c r="C46" s="290"/>
      <c r="D46" s="462"/>
      <c r="E46" s="463"/>
      <c r="F46" s="464"/>
      <c r="G46" s="87"/>
      <c r="H46" s="184"/>
      <c r="I46" s="61"/>
      <c r="J46" s="25"/>
      <c r="K46" s="510"/>
      <c r="L46" s="23"/>
      <c r="M46" s="23"/>
      <c r="N46" s="510"/>
      <c r="O46" s="510"/>
      <c r="P46" s="510"/>
      <c r="Q46" s="20"/>
      <c r="R46" s="18"/>
    </row>
    <row r="47" spans="1:19" s="7" customFormat="1" ht="15.95" customHeight="1">
      <c r="A47" s="42" t="s">
        <v>86</v>
      </c>
      <c r="B47" s="189"/>
      <c r="C47" s="191" t="s">
        <v>47</v>
      </c>
      <c r="D47" s="466">
        <f>SUM(G48:G53)</f>
        <v>0</v>
      </c>
      <c r="E47" s="189"/>
      <c r="F47" s="189"/>
      <c r="G47" s="190" t="s">
        <v>17</v>
      </c>
      <c r="H47" s="206">
        <v>10</v>
      </c>
      <c r="I47" s="337"/>
      <c r="J47" s="510"/>
      <c r="K47" s="510"/>
      <c r="L47" s="510"/>
      <c r="M47" s="510"/>
      <c r="N47" s="510"/>
      <c r="O47" s="510"/>
      <c r="P47" s="510"/>
      <c r="Q47" s="20"/>
      <c r="R47" s="18"/>
      <c r="S47" s="292"/>
    </row>
    <row r="48" spans="1:19" ht="15.75" customHeight="1">
      <c r="A48" s="557" t="s">
        <v>87</v>
      </c>
      <c r="B48" s="557" t="s">
        <v>88</v>
      </c>
      <c r="C48" s="578"/>
      <c r="D48" s="459">
        <v>0</v>
      </c>
      <c r="E48" s="460" t="s">
        <v>89</v>
      </c>
      <c r="F48" s="461">
        <f>J50</f>
        <v>0.13</v>
      </c>
      <c r="G48" s="281" t="str">
        <f>IF(ISBLANK(C48),"",IF(F48&gt;C48,H48,""))</f>
        <v/>
      </c>
      <c r="H48" s="245">
        <v>0</v>
      </c>
      <c r="I48" s="61"/>
      <c r="J48" s="510"/>
      <c r="K48" s="510"/>
      <c r="L48" s="510"/>
      <c r="M48" s="510"/>
      <c r="N48" s="134" t="s">
        <v>2</v>
      </c>
      <c r="O48" s="510"/>
      <c r="P48" s="510"/>
      <c r="Q48" s="20"/>
      <c r="R48" s="18"/>
    </row>
    <row r="49" spans="1:19" ht="15.75" customHeight="1">
      <c r="A49" s="557"/>
      <c r="B49" s="557"/>
      <c r="C49" s="579"/>
      <c r="D49" s="459">
        <f>F48</f>
        <v>0.13</v>
      </c>
      <c r="E49" s="460" t="s">
        <v>57</v>
      </c>
      <c r="F49" s="461">
        <f>D49+$J$51</f>
        <v>0.30399999999999999</v>
      </c>
      <c r="G49" s="281" t="str">
        <f>IF(OR(D49=$C$48,AND(D49&lt;$C$48, F49&gt;$C$48)),H49,"")</f>
        <v/>
      </c>
      <c r="H49" s="245">
        <f>H48+J$53</f>
        <v>2</v>
      </c>
      <c r="I49" s="61"/>
      <c r="J49" s="27" t="s">
        <v>2</v>
      </c>
      <c r="K49" s="510" t="s">
        <v>2</v>
      </c>
      <c r="L49" s="23"/>
      <c r="M49" s="23"/>
      <c r="N49" s="510"/>
      <c r="O49" s="510"/>
      <c r="P49" s="510"/>
      <c r="Q49" s="20"/>
      <c r="R49" s="18"/>
    </row>
    <row r="50" spans="1:19">
      <c r="A50" s="45"/>
      <c r="B50" s="192"/>
      <c r="C50" s="48"/>
      <c r="D50" s="459">
        <f t="shared" ref="D50:D53" si="4">F49</f>
        <v>0.30399999999999999</v>
      </c>
      <c r="E50" s="460" t="s">
        <v>57</v>
      </c>
      <c r="F50" s="461">
        <f>D50+$J$51</f>
        <v>0.47799999999999998</v>
      </c>
      <c r="G50" s="281" t="str">
        <f t="shared" ref="G50:G53" si="5">IF(OR(D50=$C$48,AND(D50&lt;$C$48, F50&gt;$C$48)),H50,"")</f>
        <v/>
      </c>
      <c r="H50" s="245">
        <f>H49+J$53</f>
        <v>4</v>
      </c>
      <c r="I50" s="61"/>
      <c r="J50" s="22">
        <v>0.13</v>
      </c>
      <c r="K50" s="510" t="s">
        <v>58</v>
      </c>
      <c r="L50" s="23"/>
      <c r="M50" s="23"/>
      <c r="N50" s="510"/>
      <c r="O50" s="510"/>
      <c r="P50" s="510"/>
      <c r="Q50" s="20"/>
      <c r="R50" s="18"/>
    </row>
    <row r="51" spans="1:19" s="7" customFormat="1" ht="14.1" customHeight="1">
      <c r="A51" s="18"/>
      <c r="B51" s="26" t="s">
        <v>2</v>
      </c>
      <c r="C51" s="48"/>
      <c r="D51" s="459">
        <f t="shared" si="4"/>
        <v>0.47799999999999998</v>
      </c>
      <c r="E51" s="460" t="s">
        <v>57</v>
      </c>
      <c r="F51" s="461">
        <f t="shared" ref="F51:F52" si="6">D51+$J$51</f>
        <v>0.65199999999999991</v>
      </c>
      <c r="G51" s="281" t="str">
        <f t="shared" si="5"/>
        <v/>
      </c>
      <c r="H51" s="245">
        <f>H50+J$53</f>
        <v>6</v>
      </c>
      <c r="I51" s="61"/>
      <c r="J51" s="22">
        <f>(1-J50)/5</f>
        <v>0.17399999999999999</v>
      </c>
      <c r="K51" s="510" t="s">
        <v>84</v>
      </c>
      <c r="L51" s="23"/>
      <c r="M51" s="23"/>
      <c r="N51" s="510"/>
      <c r="O51" s="510"/>
      <c r="P51" s="510"/>
      <c r="Q51" s="20"/>
      <c r="R51" s="18"/>
      <c r="S51" s="292"/>
    </row>
    <row r="52" spans="1:19" s="7" customFormat="1" ht="14.85" customHeight="1">
      <c r="A52" s="84"/>
      <c r="B52" s="44" t="s">
        <v>2</v>
      </c>
      <c r="C52" s="47" t="s">
        <v>2</v>
      </c>
      <c r="D52" s="459">
        <f t="shared" si="4"/>
        <v>0.65199999999999991</v>
      </c>
      <c r="E52" s="460" t="s">
        <v>57</v>
      </c>
      <c r="F52" s="461">
        <f t="shared" si="6"/>
        <v>0.82599999999999985</v>
      </c>
      <c r="G52" s="281" t="str">
        <f t="shared" si="5"/>
        <v/>
      </c>
      <c r="H52" s="245">
        <f>ROUNDDOWN(H51+J$53,0)</f>
        <v>8</v>
      </c>
      <c r="I52" s="61"/>
      <c r="J52" s="24">
        <f>H47</f>
        <v>10</v>
      </c>
      <c r="K52" s="510" t="s">
        <v>64</v>
      </c>
      <c r="L52" s="23"/>
      <c r="M52" s="23"/>
      <c r="N52" s="510"/>
      <c r="O52" s="510"/>
      <c r="P52" s="510"/>
      <c r="Q52" s="20"/>
      <c r="R52" s="18"/>
      <c r="S52" s="292"/>
    </row>
    <row r="53" spans="1:19">
      <c r="A53" s="84"/>
      <c r="B53" s="44" t="s">
        <v>2</v>
      </c>
      <c r="C53" s="46" t="s">
        <v>2</v>
      </c>
      <c r="D53" s="459">
        <f t="shared" si="4"/>
        <v>0.82599999999999985</v>
      </c>
      <c r="E53" s="460" t="s">
        <v>90</v>
      </c>
      <c r="F53" s="461" t="s">
        <v>91</v>
      </c>
      <c r="G53" s="281" t="str">
        <f t="shared" si="5"/>
        <v/>
      </c>
      <c r="H53" s="245">
        <f>ROUNDDOWN(H52+J$53,0)</f>
        <v>10</v>
      </c>
      <c r="I53" s="61"/>
      <c r="J53" s="25">
        <f>H47/5</f>
        <v>2</v>
      </c>
      <c r="K53" s="510" t="s">
        <v>67</v>
      </c>
      <c r="L53" s="23"/>
      <c r="M53" s="23"/>
      <c r="N53" s="510"/>
      <c r="O53" s="510"/>
      <c r="P53" s="510"/>
      <c r="Q53" s="20"/>
      <c r="R53" s="18"/>
    </row>
    <row r="54" spans="1:19" ht="12.95" customHeight="1">
      <c r="A54" s="51"/>
      <c r="B54" s="82"/>
      <c r="C54" s="59"/>
      <c r="D54" s="59"/>
      <c r="E54" s="59"/>
      <c r="F54" s="59"/>
      <c r="G54" s="43"/>
      <c r="H54" s="183"/>
      <c r="I54" s="59"/>
      <c r="J54" s="20"/>
      <c r="K54" s="20"/>
      <c r="L54" s="20"/>
      <c r="M54" s="20"/>
      <c r="N54" s="20"/>
      <c r="O54" s="20"/>
      <c r="P54" s="20"/>
      <c r="Q54" s="20"/>
      <c r="R54" s="18"/>
    </row>
    <row r="55" spans="1:19" s="7" customFormat="1" ht="15" customHeight="1">
      <c r="A55" s="42" t="s">
        <v>92</v>
      </c>
      <c r="B55" s="189"/>
      <c r="C55" s="191" t="s">
        <v>47</v>
      </c>
      <c r="D55" s="503">
        <f>SUM(G56:G61)</f>
        <v>0</v>
      </c>
      <c r="E55" s="189"/>
      <c r="F55" s="125"/>
      <c r="G55" s="190" t="s">
        <v>17</v>
      </c>
      <c r="H55" s="206">
        <v>10</v>
      </c>
      <c r="I55" s="70"/>
      <c r="J55" s="510"/>
      <c r="K55" s="510"/>
      <c r="L55" s="510"/>
      <c r="M55" s="510"/>
      <c r="N55" s="510"/>
      <c r="O55" s="510"/>
      <c r="P55" s="510"/>
      <c r="Q55" s="20"/>
      <c r="R55" s="18"/>
      <c r="S55" s="292"/>
    </row>
    <row r="56" spans="1:19" ht="13.35" customHeight="1">
      <c r="A56" s="154" t="s">
        <v>93</v>
      </c>
      <c r="B56" s="155" t="s">
        <v>94</v>
      </c>
      <c r="C56" s="278"/>
      <c r="D56" s="459">
        <v>0</v>
      </c>
      <c r="E56" s="460" t="s">
        <v>89</v>
      </c>
      <c r="F56" s="461">
        <f>J58</f>
        <v>0.2</v>
      </c>
      <c r="G56" s="141" t="str">
        <f>IF(F56&gt;C60,H56,"")</f>
        <v/>
      </c>
      <c r="H56" s="245">
        <v>0</v>
      </c>
      <c r="I56" s="31"/>
      <c r="J56" s="510"/>
      <c r="K56" s="510"/>
      <c r="L56" s="510"/>
      <c r="M56" s="510"/>
      <c r="N56" s="510"/>
      <c r="O56" s="510"/>
      <c r="P56" s="510"/>
      <c r="Q56" s="20"/>
      <c r="R56" s="18"/>
      <c r="S56" s="306" t="s">
        <v>95</v>
      </c>
    </row>
    <row r="57" spans="1:19">
      <c r="A57" s="491" t="s">
        <v>96</v>
      </c>
      <c r="B57" s="154" t="s">
        <v>97</v>
      </c>
      <c r="C57" s="278"/>
      <c r="D57" s="459">
        <f>F56</f>
        <v>0.2</v>
      </c>
      <c r="E57" s="460" t="s">
        <v>57</v>
      </c>
      <c r="F57" s="461">
        <f>D57+$J$59</f>
        <v>0.36</v>
      </c>
      <c r="G57" s="141" t="str">
        <f>IF(OR(D57=$C$60,AND(D57&lt;$C$60, F57&gt;$C$60)),H57,"")</f>
        <v/>
      </c>
      <c r="H57" s="245">
        <f>J$61+H56</f>
        <v>2</v>
      </c>
      <c r="I57" s="61"/>
      <c r="J57" s="27">
        <v>0.4</v>
      </c>
      <c r="K57" s="510" t="s">
        <v>98</v>
      </c>
      <c r="L57" s="23"/>
      <c r="M57" s="23"/>
      <c r="N57" s="510"/>
      <c r="O57" s="510"/>
      <c r="P57" s="510"/>
      <c r="Q57" s="20"/>
      <c r="R57" s="18"/>
      <c r="S57" s="306"/>
    </row>
    <row r="58" spans="1:19" ht="13.35" customHeight="1">
      <c r="A58" s="491" t="s">
        <v>99</v>
      </c>
      <c r="B58" s="212" t="s">
        <v>100</v>
      </c>
      <c r="C58" s="10" t="str">
        <f>IF(ISBLANK(C57),"",SUM(C56:C57))</f>
        <v/>
      </c>
      <c r="D58" s="459">
        <f>F57</f>
        <v>0.36</v>
      </c>
      <c r="E58" s="460" t="s">
        <v>57</v>
      </c>
      <c r="F58" s="461">
        <f t="shared" ref="F58:F60" si="7">D58+$J$59</f>
        <v>0.52</v>
      </c>
      <c r="G58" s="141" t="str">
        <f t="shared" ref="G58:G59" si="8">IF(OR(D58=$C$60,AND(D58&lt;$C$60, F58&gt;$C$60)),H58,"")</f>
        <v/>
      </c>
      <c r="H58" s="245">
        <f>J$61+H57</f>
        <v>4</v>
      </c>
      <c r="I58" s="61"/>
      <c r="J58" s="22">
        <f>0.5*J57</f>
        <v>0.2</v>
      </c>
      <c r="K58" s="510" t="s">
        <v>83</v>
      </c>
      <c r="L58" s="23"/>
      <c r="M58" s="23"/>
      <c r="N58" s="510"/>
      <c r="O58" s="510"/>
      <c r="P58" s="510"/>
      <c r="Q58" s="20"/>
      <c r="R58" s="18"/>
      <c r="S58" s="306"/>
    </row>
    <row r="59" spans="1:19">
      <c r="A59" s="211" t="s">
        <v>101</v>
      </c>
      <c r="B59" s="154" t="s">
        <v>102</v>
      </c>
      <c r="C59" s="11">
        <f>H5</f>
        <v>0</v>
      </c>
      <c r="D59" s="459">
        <f t="shared" ref="D59:D60" si="9">F58</f>
        <v>0.52</v>
      </c>
      <c r="E59" s="460" t="s">
        <v>57</v>
      </c>
      <c r="F59" s="461">
        <f t="shared" si="7"/>
        <v>0.68</v>
      </c>
      <c r="G59" s="141" t="str">
        <f t="shared" si="8"/>
        <v/>
      </c>
      <c r="H59" s="245">
        <f>J$61+H58</f>
        <v>6</v>
      </c>
      <c r="I59" s="61"/>
      <c r="J59" s="22">
        <f>(1-J58)/5</f>
        <v>0.16</v>
      </c>
      <c r="K59" s="510" t="s">
        <v>84</v>
      </c>
      <c r="L59" s="23"/>
      <c r="M59" s="23"/>
      <c r="N59" s="510"/>
      <c r="O59" s="510"/>
      <c r="P59" s="510"/>
      <c r="Q59" s="20"/>
      <c r="R59" s="18"/>
      <c r="S59" s="306"/>
    </row>
    <row r="60" spans="1:19" ht="14.1" customHeight="1">
      <c r="A60" s="211" t="s">
        <v>103</v>
      </c>
      <c r="B60" s="212" t="s">
        <v>100</v>
      </c>
      <c r="C60" s="248" t="str">
        <f>IF(OR(COUNT(C58)=0,COUNT(C59)=0),"",C58/C59)</f>
        <v/>
      </c>
      <c r="D60" s="459">
        <f t="shared" si="9"/>
        <v>0.68</v>
      </c>
      <c r="E60" s="460" t="s">
        <v>57</v>
      </c>
      <c r="F60" s="461">
        <f t="shared" si="7"/>
        <v>0.84000000000000008</v>
      </c>
      <c r="G60" s="141" t="str">
        <f>IF(OR(D60=$C$60,AND(D60&lt;$C$60, F60&gt;$C$60)),H60,"")</f>
        <v/>
      </c>
      <c r="H60" s="245">
        <f>J$61+H59</f>
        <v>8</v>
      </c>
      <c r="I60" s="61"/>
      <c r="J60" s="24">
        <f>H55</f>
        <v>10</v>
      </c>
      <c r="K60" s="510" t="s">
        <v>64</v>
      </c>
      <c r="L60" s="23"/>
      <c r="M60" s="23"/>
      <c r="N60" s="510"/>
      <c r="O60" s="510"/>
      <c r="P60" s="510"/>
      <c r="Q60" s="20"/>
      <c r="R60" s="18"/>
      <c r="S60" s="306"/>
    </row>
    <row r="61" spans="1:19" ht="14.1" customHeight="1">
      <c r="A61" s="148"/>
      <c r="B61" s="148"/>
      <c r="C61" s="246"/>
      <c r="D61" s="459">
        <f>F60</f>
        <v>0.84000000000000008</v>
      </c>
      <c r="E61" s="460" t="s">
        <v>104</v>
      </c>
      <c r="F61" s="461" t="s">
        <v>91</v>
      </c>
      <c r="G61" s="141" t="str">
        <f>IF(C60="","",IF(OR(D61=$C$60,D61&lt;$C$60),H61,""))</f>
        <v/>
      </c>
      <c r="H61" s="245">
        <f>J$61+H60</f>
        <v>10</v>
      </c>
      <c r="I61" s="61"/>
      <c r="J61" s="24">
        <f>J60/5</f>
        <v>2</v>
      </c>
      <c r="K61" s="510" t="s">
        <v>67</v>
      </c>
      <c r="L61" s="23"/>
      <c r="M61" s="23"/>
      <c r="N61" s="510"/>
      <c r="O61" s="510"/>
      <c r="P61" s="510"/>
      <c r="Q61" s="20"/>
      <c r="R61" s="18"/>
      <c r="S61" s="306"/>
    </row>
    <row r="62" spans="1:19" ht="14.1" customHeight="1">
      <c r="A62" s="148"/>
      <c r="B62" s="148"/>
      <c r="C62" s="246"/>
      <c r="D62" s="467"/>
      <c r="E62" s="460"/>
      <c r="F62" s="468"/>
      <c r="G62" s="164"/>
      <c r="H62" s="247"/>
      <c r="I62" s="61"/>
      <c r="J62" s="24"/>
      <c r="K62" s="510"/>
      <c r="L62" s="23"/>
      <c r="M62" s="23"/>
      <c r="N62" s="510"/>
      <c r="O62" s="510"/>
      <c r="P62" s="510"/>
      <c r="Q62" s="20"/>
      <c r="R62" s="18"/>
    </row>
    <row r="63" spans="1:19" ht="14.1" customHeight="1">
      <c r="A63" s="42" t="s">
        <v>105</v>
      </c>
      <c r="B63" s="189"/>
      <c r="C63" s="191" t="s">
        <v>47</v>
      </c>
      <c r="D63" s="503">
        <f>SUM(G64:G69)</f>
        <v>0</v>
      </c>
      <c r="E63" s="189"/>
      <c r="F63" s="125"/>
      <c r="G63" s="190" t="s">
        <v>17</v>
      </c>
      <c r="H63" s="206">
        <v>5</v>
      </c>
      <c r="I63" s="61"/>
      <c r="J63" s="24"/>
      <c r="K63" s="510"/>
      <c r="L63" s="23"/>
      <c r="M63" s="23"/>
      <c r="N63" s="510"/>
      <c r="O63" s="510"/>
      <c r="P63" s="510"/>
      <c r="Q63" s="20"/>
      <c r="R63" s="18"/>
    </row>
    <row r="64" spans="1:19" ht="35.25" customHeight="1">
      <c r="A64" s="495" t="s">
        <v>106</v>
      </c>
      <c r="B64" s="499" t="s">
        <v>107</v>
      </c>
      <c r="C64" s="316"/>
      <c r="D64" s="469">
        <v>0</v>
      </c>
      <c r="E64" s="460" t="s">
        <v>108</v>
      </c>
      <c r="F64" s="470">
        <f>J66</f>
        <v>0.16</v>
      </c>
      <c r="G64" s="281" t="str">
        <f>IF(F64&gt;C66,H64,"")</f>
        <v/>
      </c>
      <c r="H64" s="317">
        <v>0</v>
      </c>
      <c r="I64" s="61"/>
      <c r="J64" s="201">
        <v>0.4</v>
      </c>
      <c r="K64" s="510" t="s">
        <v>98</v>
      </c>
      <c r="L64" s="23"/>
      <c r="M64" s="23"/>
      <c r="N64" s="510"/>
      <c r="O64" s="510"/>
      <c r="P64" s="510"/>
      <c r="Q64" s="20"/>
      <c r="R64" s="18"/>
      <c r="S64" s="1" t="s">
        <v>109</v>
      </c>
    </row>
    <row r="65" spans="1:20" ht="14.1" customHeight="1">
      <c r="A65" s="498" t="s">
        <v>110</v>
      </c>
      <c r="B65" s="498" t="s">
        <v>111</v>
      </c>
      <c r="C65" s="318">
        <f>H5</f>
        <v>0</v>
      </c>
      <c r="D65" s="469">
        <f>F64</f>
        <v>0.16</v>
      </c>
      <c r="E65" s="460" t="s">
        <v>57</v>
      </c>
      <c r="F65" s="470">
        <f>D65+$J$59</f>
        <v>0.32</v>
      </c>
      <c r="G65" s="281" t="str">
        <f>IF(OR(D65=$C$66,AND(D65&lt;$C$66, F65&gt;$C$66)),H65,"")</f>
        <v/>
      </c>
      <c r="H65" s="317">
        <f>J$68+H64</f>
        <v>1</v>
      </c>
      <c r="I65" s="61"/>
      <c r="J65" s="22">
        <f>0.5*J64</f>
        <v>0.2</v>
      </c>
      <c r="K65" s="510" t="s">
        <v>83</v>
      </c>
      <c r="L65" s="23"/>
      <c r="M65" s="23"/>
      <c r="N65" s="510"/>
      <c r="O65" s="510"/>
      <c r="P65" s="510"/>
      <c r="Q65" s="20"/>
      <c r="R65" s="18"/>
    </row>
    <row r="66" spans="1:20" ht="14.1" customHeight="1">
      <c r="A66" s="498" t="s">
        <v>112</v>
      </c>
      <c r="B66" s="194" t="s">
        <v>100</v>
      </c>
      <c r="C66" s="319" t="str">
        <f>IF(OR(COUNT(C64)=0,COUNT(C65)=0),"",C64/C65)</f>
        <v/>
      </c>
      <c r="D66" s="469">
        <f>F65</f>
        <v>0.32</v>
      </c>
      <c r="E66" s="460" t="s">
        <v>57</v>
      </c>
      <c r="F66" s="470">
        <f t="shared" ref="F66:F68" si="10">D66+$J$59</f>
        <v>0.48</v>
      </c>
      <c r="G66" s="281" t="str">
        <f t="shared" ref="G66:G68" si="11">IF(OR(D66=$C$66,AND(D66&lt;$C$66, F66&gt;$C$66)),H66,"")</f>
        <v/>
      </c>
      <c r="H66" s="317">
        <f>J$68+H65</f>
        <v>2</v>
      </c>
      <c r="I66" s="61"/>
      <c r="J66" s="22">
        <f>(1-J65)/5</f>
        <v>0.16</v>
      </c>
      <c r="K66" s="510" t="s">
        <v>84</v>
      </c>
      <c r="L66" s="23"/>
      <c r="M66" s="23"/>
      <c r="N66" s="510"/>
      <c r="O66" s="510"/>
      <c r="P66" s="510"/>
      <c r="Q66" s="20"/>
      <c r="R66" s="18"/>
    </row>
    <row r="67" spans="1:20" ht="14.1" customHeight="1">
      <c r="A67" s="148"/>
      <c r="B67" s="44"/>
      <c r="C67" s="46"/>
      <c r="D67" s="469">
        <f t="shared" ref="D67:D68" si="12">F66</f>
        <v>0.48</v>
      </c>
      <c r="E67" s="460" t="s">
        <v>57</v>
      </c>
      <c r="F67" s="470">
        <f t="shared" si="10"/>
        <v>0.64</v>
      </c>
      <c r="G67" s="281" t="str">
        <f t="shared" si="11"/>
        <v/>
      </c>
      <c r="H67" s="317">
        <f>J$68+H66</f>
        <v>3</v>
      </c>
      <c r="I67" s="61"/>
      <c r="J67" s="24">
        <f>H63</f>
        <v>5</v>
      </c>
      <c r="K67" s="510" t="s">
        <v>64</v>
      </c>
      <c r="L67" s="23"/>
      <c r="M67" s="23"/>
      <c r="N67" s="510"/>
      <c r="O67" s="510"/>
      <c r="P67" s="510"/>
      <c r="Q67" s="20"/>
      <c r="R67" s="18"/>
    </row>
    <row r="68" spans="1:20" ht="14.1" customHeight="1">
      <c r="A68" s="148"/>
      <c r="B68" s="44"/>
      <c r="C68" s="46"/>
      <c r="D68" s="469">
        <f t="shared" si="12"/>
        <v>0.64</v>
      </c>
      <c r="E68" s="460" t="s">
        <v>57</v>
      </c>
      <c r="F68" s="470">
        <f t="shared" si="10"/>
        <v>0.8</v>
      </c>
      <c r="G68" s="281" t="str">
        <f t="shared" si="11"/>
        <v/>
      </c>
      <c r="H68" s="317">
        <f>J$68+H67</f>
        <v>4</v>
      </c>
      <c r="I68" s="61"/>
      <c r="J68" s="24">
        <f>J67/5</f>
        <v>1</v>
      </c>
      <c r="K68" s="510" t="s">
        <v>67</v>
      </c>
      <c r="L68" s="23"/>
      <c r="M68" s="23"/>
      <c r="N68" s="510"/>
      <c r="O68" s="510"/>
      <c r="P68" s="510"/>
      <c r="Q68" s="20"/>
      <c r="R68" s="18"/>
    </row>
    <row r="69" spans="1:20" ht="14.1" customHeight="1">
      <c r="A69" s="148"/>
      <c r="B69" s="44"/>
      <c r="C69" s="46"/>
      <c r="D69" s="469">
        <f>F68</f>
        <v>0.8</v>
      </c>
      <c r="E69" s="460" t="s">
        <v>90</v>
      </c>
      <c r="F69" s="470" t="s">
        <v>91</v>
      </c>
      <c r="G69" s="281" t="str">
        <f>IF(C66="","",IF(OR(D69=$C$66,D69&lt;$C$66),H69,""))</f>
        <v/>
      </c>
      <c r="H69" s="317">
        <f>J$68+H68</f>
        <v>5</v>
      </c>
      <c r="I69" s="61"/>
      <c r="J69" s="61"/>
      <c r="K69" s="510"/>
      <c r="L69" s="23"/>
      <c r="M69" s="23"/>
      <c r="N69" s="510"/>
      <c r="O69" s="510"/>
      <c r="P69" s="510"/>
      <c r="Q69" s="20"/>
      <c r="R69" s="18"/>
    </row>
    <row r="70" spans="1:20" ht="14.1" customHeight="1">
      <c r="A70" s="148"/>
      <c r="B70" s="44"/>
      <c r="C70" s="132"/>
      <c r="D70" s="467"/>
      <c r="E70" s="460"/>
      <c r="F70" s="468"/>
      <c r="G70" s="164"/>
      <c r="H70" s="247"/>
      <c r="I70" s="61"/>
      <c r="J70" s="24"/>
      <c r="K70" s="510"/>
      <c r="L70" s="23"/>
      <c r="M70" s="23"/>
      <c r="N70" s="510"/>
      <c r="O70" s="510"/>
      <c r="P70" s="510"/>
      <c r="Q70" s="20"/>
      <c r="R70" s="18"/>
    </row>
    <row r="71" spans="1:20" ht="24.75" customHeight="1">
      <c r="A71" s="42" t="s">
        <v>113</v>
      </c>
      <c r="B71" s="189"/>
      <c r="C71" s="191" t="s">
        <v>47</v>
      </c>
      <c r="D71" s="503">
        <f>SUM(G72:G76)</f>
        <v>0</v>
      </c>
      <c r="E71" s="189"/>
      <c r="F71" s="125"/>
      <c r="G71" s="190" t="s">
        <v>17</v>
      </c>
      <c r="H71" s="206">
        <v>4</v>
      </c>
      <c r="I71" s="61"/>
      <c r="J71" s="24"/>
      <c r="K71" s="510"/>
      <c r="L71" s="23"/>
      <c r="M71" s="23"/>
      <c r="N71" s="510"/>
      <c r="O71" s="510"/>
      <c r="P71" s="510"/>
      <c r="Q71" s="20"/>
      <c r="R71" s="18"/>
      <c r="S71" s="1" t="s">
        <v>114</v>
      </c>
    </row>
    <row r="72" spans="1:20" s="18" customFormat="1" ht="29.25" customHeight="1">
      <c r="A72" s="499" t="s">
        <v>115</v>
      </c>
      <c r="B72" s="334" t="s">
        <v>116</v>
      </c>
      <c r="C72" s="344">
        <f>J72</f>
        <v>198</v>
      </c>
      <c r="D72" s="469">
        <v>0</v>
      </c>
      <c r="E72" s="460" t="s">
        <v>57</v>
      </c>
      <c r="F72" s="470">
        <f>J73</f>
        <v>0.7</v>
      </c>
      <c r="G72" s="486" t="str">
        <f>IF(F72&gt;C74,H72,"")</f>
        <v/>
      </c>
      <c r="H72" s="487">
        <v>4</v>
      </c>
      <c r="I72" s="61"/>
      <c r="J72" s="24">
        <v>198</v>
      </c>
      <c r="K72" s="510"/>
      <c r="L72" s="23"/>
      <c r="M72" s="273"/>
      <c r="N72" s="510"/>
      <c r="O72" s="274" t="s">
        <v>2</v>
      </c>
      <c r="P72" s="89"/>
      <c r="Q72" s="89"/>
      <c r="R72" s="89"/>
      <c r="S72" s="488"/>
      <c r="T72" s="62"/>
    </row>
    <row r="73" spans="1:20" s="18" customFormat="1" ht="26.25" customHeight="1">
      <c r="A73" s="495" t="s">
        <v>117</v>
      </c>
      <c r="B73" s="498" t="s">
        <v>118</v>
      </c>
      <c r="C73" s="318"/>
      <c r="D73" s="469">
        <f>F72</f>
        <v>0.7</v>
      </c>
      <c r="E73" s="460" t="s">
        <v>57</v>
      </c>
      <c r="F73" s="470">
        <f>D73+J$74</f>
        <v>0.79999999999999993</v>
      </c>
      <c r="G73" s="486" t="str">
        <f>IF(OR(D73=$C$74,AND(D73&lt;$C$74, F73&gt;$C$74)),H73,"")</f>
        <v/>
      </c>
      <c r="H73" s="487">
        <v>3</v>
      </c>
      <c r="I73" s="61"/>
      <c r="J73" s="22">
        <v>0.7</v>
      </c>
      <c r="K73" s="134" t="s">
        <v>119</v>
      </c>
      <c r="L73" s="23"/>
      <c r="M73" s="148"/>
      <c r="N73" s="510"/>
      <c r="O73" s="246"/>
      <c r="P73" s="130"/>
      <c r="Q73" s="93"/>
      <c r="R73" s="167"/>
      <c r="S73" s="489"/>
      <c r="T73" s="24"/>
    </row>
    <row r="74" spans="1:20" s="18" customFormat="1" ht="21.75" customHeight="1">
      <c r="A74" s="495" t="s">
        <v>120</v>
      </c>
      <c r="B74" s="236" t="s">
        <v>100</v>
      </c>
      <c r="C74" s="268" t="str">
        <f>IF(ISBLANK(C73),"",(C73/C72))</f>
        <v/>
      </c>
      <c r="D74" s="469">
        <f>F73</f>
        <v>0.79999999999999993</v>
      </c>
      <c r="E74" s="460" t="s">
        <v>54</v>
      </c>
      <c r="F74" s="470">
        <f>D74+J74</f>
        <v>0.89999999999999991</v>
      </c>
      <c r="G74" s="486" t="str">
        <f t="shared" ref="G74:G75" si="13">IF(OR(D74=$C$74,AND(D74&lt;$C$74, F74&gt;$C$74)),H74,"")</f>
        <v/>
      </c>
      <c r="H74" s="487">
        <v>2</v>
      </c>
      <c r="I74" s="61"/>
      <c r="J74" s="22">
        <v>0.1</v>
      </c>
      <c r="K74" s="134" t="s">
        <v>121</v>
      </c>
      <c r="L74" s="23"/>
      <c r="M74" s="192"/>
      <c r="N74" s="510"/>
      <c r="O74" s="246"/>
      <c r="P74" s="130"/>
      <c r="Q74" s="93"/>
      <c r="R74" s="167"/>
      <c r="S74" s="489"/>
      <c r="T74" s="24"/>
    </row>
    <row r="75" spans="1:20" ht="21.75" customHeight="1">
      <c r="A75" s="70"/>
      <c r="B75" s="501"/>
      <c r="C75" s="249"/>
      <c r="D75" s="469">
        <f>F74</f>
        <v>0.89999999999999991</v>
      </c>
      <c r="E75" s="460" t="s">
        <v>54</v>
      </c>
      <c r="F75" s="470">
        <f>D75+J74</f>
        <v>0.99999999999999989</v>
      </c>
      <c r="G75" s="281" t="str">
        <f t="shared" si="13"/>
        <v/>
      </c>
      <c r="H75" s="317">
        <v>1</v>
      </c>
      <c r="I75" s="338"/>
      <c r="J75" s="24">
        <f>H71</f>
        <v>4</v>
      </c>
      <c r="K75" s="510" t="s">
        <v>64</v>
      </c>
      <c r="L75" s="23"/>
      <c r="M75" s="192"/>
      <c r="N75" s="134" t="s">
        <v>2</v>
      </c>
      <c r="O75" s="246"/>
      <c r="P75" s="130"/>
      <c r="Q75" s="93"/>
      <c r="R75" s="167"/>
      <c r="S75" s="298"/>
      <c r="T75" s="200"/>
    </row>
    <row r="76" spans="1:20" ht="21.75" customHeight="1">
      <c r="A76" s="70"/>
      <c r="B76" s="501"/>
      <c r="C76" s="249"/>
      <c r="D76" s="469">
        <f>F75</f>
        <v>0.99999999999999989</v>
      </c>
      <c r="E76" s="460" t="s">
        <v>122</v>
      </c>
      <c r="F76" s="470" t="s">
        <v>91</v>
      </c>
      <c r="G76" s="281" t="str">
        <f>IF(C74="","",IF(OR(D76=$C$74,D76&lt;$C$74),H76,""))</f>
        <v/>
      </c>
      <c r="H76" s="317">
        <v>0</v>
      </c>
      <c r="I76" s="61"/>
      <c r="J76" s="24">
        <f>J75/4</f>
        <v>1</v>
      </c>
      <c r="K76" s="510" t="s">
        <v>67</v>
      </c>
      <c r="L76" s="23"/>
      <c r="M76" s="192"/>
      <c r="N76" s="192" t="s">
        <v>2</v>
      </c>
      <c r="O76" s="246"/>
      <c r="P76" s="130"/>
      <c r="Q76" s="93"/>
      <c r="R76" s="167"/>
      <c r="S76" s="298"/>
      <c r="T76" s="200"/>
    </row>
    <row r="77" spans="1:20" ht="14.1" customHeight="1">
      <c r="A77" s="131"/>
      <c r="B77" s="195"/>
      <c r="C77" s="148"/>
      <c r="D77" s="130"/>
      <c r="F77" s="167"/>
      <c r="G77" s="95"/>
      <c r="H77" s="179"/>
      <c r="I77" s="61"/>
      <c r="J77" s="24"/>
      <c r="K77" s="510"/>
      <c r="L77" s="23"/>
      <c r="M77" s="23"/>
      <c r="N77" s="510"/>
      <c r="O77" s="510"/>
      <c r="P77" s="510"/>
      <c r="Q77" s="20"/>
      <c r="R77" s="18"/>
    </row>
    <row r="78" spans="1:20" ht="14.1" customHeight="1">
      <c r="A78" s="42" t="s">
        <v>123</v>
      </c>
      <c r="B78" s="189"/>
      <c r="C78" s="191" t="s">
        <v>47</v>
      </c>
      <c r="D78" s="503">
        <f>SUM(G79:G82)</f>
        <v>0</v>
      </c>
      <c r="E78" s="189"/>
      <c r="F78" s="125"/>
      <c r="G78" s="190" t="s">
        <v>17</v>
      </c>
      <c r="H78" s="206">
        <v>3</v>
      </c>
      <c r="I78" s="61"/>
      <c r="J78" s="61"/>
      <c r="K78" s="510"/>
      <c r="L78" s="23"/>
      <c r="M78" s="23"/>
      <c r="N78" s="510"/>
      <c r="O78" s="510"/>
      <c r="P78" s="510"/>
      <c r="Q78" s="20"/>
      <c r="R78" s="18"/>
    </row>
    <row r="79" spans="1:20" ht="14.1" customHeight="1">
      <c r="A79" s="491" t="s">
        <v>124</v>
      </c>
      <c r="B79" s="491" t="s">
        <v>125</v>
      </c>
      <c r="C79" s="320"/>
      <c r="D79" s="459">
        <v>0</v>
      </c>
      <c r="E79" s="460" t="s">
        <v>126</v>
      </c>
      <c r="F79" s="461" t="s">
        <v>127</v>
      </c>
      <c r="G79" s="281" t="str">
        <f>IF(C81&lt;0,H79,"")</f>
        <v/>
      </c>
      <c r="H79" s="245">
        <v>0</v>
      </c>
      <c r="I79" s="61"/>
      <c r="J79" s="24">
        <v>0</v>
      </c>
      <c r="K79" s="134" t="s">
        <v>128</v>
      </c>
      <c r="L79" s="23"/>
      <c r="M79" s="23"/>
      <c r="N79" s="510"/>
      <c r="O79" s="510"/>
      <c r="P79" s="510"/>
      <c r="Q79" s="20"/>
      <c r="R79" s="18"/>
    </row>
    <row r="80" spans="1:20" ht="14.1" customHeight="1">
      <c r="A80" s="491" t="s">
        <v>129</v>
      </c>
      <c r="B80" s="491" t="s">
        <v>130</v>
      </c>
      <c r="C80" s="315"/>
      <c r="D80" s="459">
        <f>J80</f>
        <v>0.01</v>
      </c>
      <c r="E80" s="460" t="s">
        <v>108</v>
      </c>
      <c r="F80" s="461">
        <f>J81</f>
        <v>0.05</v>
      </c>
      <c r="G80" s="281" t="str">
        <f>IF(OR(D80=$C$81,AND(D80&lt;$C$81, F80&gt;$C$81)),H80,"")</f>
        <v/>
      </c>
      <c r="H80" s="245">
        <f>H79+J83</f>
        <v>1</v>
      </c>
      <c r="I80" s="61"/>
      <c r="J80" s="27">
        <v>0.01</v>
      </c>
      <c r="K80" s="134" t="s">
        <v>131</v>
      </c>
      <c r="L80" s="23"/>
      <c r="M80" s="23"/>
      <c r="N80" s="510"/>
      <c r="O80" s="510"/>
      <c r="P80" s="510"/>
      <c r="Q80" s="20"/>
      <c r="R80" s="18"/>
    </row>
    <row r="81" spans="1:19">
      <c r="A81" s="495" t="s">
        <v>132</v>
      </c>
      <c r="B81" s="169" t="s">
        <v>100</v>
      </c>
      <c r="C81" s="268" t="str">
        <f>IF(ISBLANK(C80),"",(C79/C80)-100%)</f>
        <v/>
      </c>
      <c r="D81" s="459">
        <f>F80</f>
        <v>0.05</v>
      </c>
      <c r="E81" s="460" t="s">
        <v>54</v>
      </c>
      <c r="F81" s="461">
        <f>D81+J81</f>
        <v>0.1</v>
      </c>
      <c r="G81" s="281" t="str">
        <f>IF(OR(D81=$C$81,AND(D81&lt;$C$81, F81&gt;$C$81)),H81,"")</f>
        <v/>
      </c>
      <c r="H81" s="245">
        <f>H80+J83</f>
        <v>2</v>
      </c>
      <c r="I81" s="61"/>
      <c r="J81" s="135">
        <v>0.05</v>
      </c>
      <c r="K81" s="82" t="s">
        <v>133</v>
      </c>
      <c r="L81" s="23"/>
      <c r="M81" s="23"/>
      <c r="N81" s="510"/>
      <c r="O81" s="510"/>
      <c r="P81" s="510"/>
      <c r="Q81" s="20"/>
      <c r="R81" s="18"/>
    </row>
    <row r="82" spans="1:19">
      <c r="A82" s="269"/>
      <c r="B82" s="270"/>
      <c r="C82" s="271"/>
      <c r="D82" s="459">
        <f>F81</f>
        <v>0.1</v>
      </c>
      <c r="E82" s="460" t="s">
        <v>134</v>
      </c>
      <c r="F82" s="461" t="s">
        <v>91</v>
      </c>
      <c r="G82" s="281" t="str">
        <f>IF(COUNT(C81)=0,"",IF(C$81&gt;=D82,H82,""))</f>
        <v/>
      </c>
      <c r="H82" s="245">
        <f>H81+J83</f>
        <v>3</v>
      </c>
      <c r="I82" s="61"/>
      <c r="J82" s="100">
        <f>H78</f>
        <v>3</v>
      </c>
      <c r="K82" s="134" t="s">
        <v>135</v>
      </c>
      <c r="L82" s="23"/>
      <c r="M82" s="23"/>
      <c r="N82" s="510"/>
      <c r="O82" s="510"/>
      <c r="P82" s="510"/>
      <c r="Q82" s="20"/>
      <c r="R82" s="18"/>
    </row>
    <row r="83" spans="1:19">
      <c r="A83" s="51"/>
      <c r="B83" s="39"/>
      <c r="C83" s="18"/>
      <c r="D83" s="130"/>
      <c r="E83" s="93"/>
      <c r="F83" s="94"/>
      <c r="G83" s="50"/>
      <c r="H83" s="179"/>
      <c r="I83" s="61"/>
      <c r="J83" s="24">
        <f>J82/3</f>
        <v>1</v>
      </c>
      <c r="K83" s="134" t="s">
        <v>136</v>
      </c>
      <c r="L83" s="23"/>
      <c r="M83" s="23"/>
      <c r="N83" s="510"/>
      <c r="O83" s="510"/>
      <c r="P83" s="134" t="s">
        <v>2</v>
      </c>
      <c r="Q83" s="20"/>
      <c r="R83" s="18"/>
    </row>
    <row r="84" spans="1:19">
      <c r="A84" s="51"/>
      <c r="B84" s="70"/>
      <c r="C84" s="59"/>
      <c r="D84" s="41" t="s">
        <v>2</v>
      </c>
      <c r="E84" s="41"/>
      <c r="F84" s="41"/>
      <c r="G84" s="40" t="s">
        <v>2</v>
      </c>
      <c r="H84" s="183"/>
      <c r="I84" s="59"/>
      <c r="J84" s="510"/>
      <c r="K84" s="510"/>
      <c r="L84" s="510"/>
      <c r="M84" s="510"/>
      <c r="N84" s="510"/>
      <c r="O84" s="510"/>
      <c r="P84" s="510"/>
      <c r="Q84" s="20"/>
      <c r="R84" s="18"/>
    </row>
    <row r="85" spans="1:19" s="7" customFormat="1" ht="38.25">
      <c r="A85" s="42" t="s">
        <v>137</v>
      </c>
      <c r="B85" s="189"/>
      <c r="C85" s="191" t="s">
        <v>47</v>
      </c>
      <c r="D85" s="38">
        <f>SUM(D94)</f>
        <v>0</v>
      </c>
      <c r="E85" s="189"/>
      <c r="F85" s="125"/>
      <c r="G85" s="190" t="s">
        <v>17</v>
      </c>
      <c r="H85" s="206">
        <v>4</v>
      </c>
      <c r="I85" s="70"/>
      <c r="J85" s="20"/>
      <c r="K85" s="20"/>
      <c r="L85" s="20"/>
      <c r="M85" s="20"/>
      <c r="N85" s="20"/>
      <c r="O85" s="20"/>
      <c r="P85" s="20"/>
      <c r="Q85" s="20"/>
      <c r="R85" s="18"/>
      <c r="S85" s="303" t="s">
        <v>138</v>
      </c>
    </row>
    <row r="86" spans="1:19" ht="36" customHeight="1">
      <c r="A86" s="37"/>
      <c r="B86" s="496"/>
      <c r="C86" s="205" t="s">
        <v>139</v>
      </c>
      <c r="D86" s="580" t="s">
        <v>140</v>
      </c>
      <c r="E86" s="581"/>
      <c r="F86" s="582"/>
      <c r="G86" s="241"/>
      <c r="H86" s="242"/>
      <c r="I86" s="492"/>
      <c r="J86" s="83"/>
      <c r="K86" s="20"/>
      <c r="L86" s="520"/>
      <c r="M86" s="520"/>
      <c r="N86" s="520"/>
      <c r="O86" s="520"/>
      <c r="P86" s="20"/>
      <c r="Q86" s="20"/>
      <c r="R86" s="18"/>
    </row>
    <row r="87" spans="1:19" ht="25.5" customHeight="1">
      <c r="A87" s="140" t="s">
        <v>141</v>
      </c>
      <c r="B87" s="140" t="s">
        <v>142</v>
      </c>
      <c r="C87" s="310" t="s">
        <v>143</v>
      </c>
      <c r="D87" s="576"/>
      <c r="E87" s="577"/>
      <c r="F87" s="577"/>
      <c r="G87" s="100"/>
      <c r="H87" s="181"/>
      <c r="I87" s="23"/>
      <c r="J87" s="204"/>
      <c r="K87" s="134"/>
      <c r="L87" s="510"/>
      <c r="M87" s="510"/>
      <c r="N87" s="510"/>
      <c r="O87" s="510"/>
      <c r="P87" s="20"/>
      <c r="Q87" s="20"/>
      <c r="R87" s="18"/>
    </row>
    <row r="88" spans="1:19" ht="25.5" customHeight="1">
      <c r="A88" s="334" t="s">
        <v>144</v>
      </c>
      <c r="B88" s="140" t="s">
        <v>142</v>
      </c>
      <c r="C88" s="310" t="s">
        <v>143</v>
      </c>
      <c r="D88" s="532"/>
      <c r="E88" s="533"/>
      <c r="F88" s="533"/>
      <c r="G88" s="24"/>
      <c r="H88" s="181"/>
      <c r="I88" s="23"/>
      <c r="J88" s="204"/>
      <c r="K88" s="82"/>
      <c r="L88" s="510"/>
      <c r="M88" s="510"/>
      <c r="N88" s="510"/>
      <c r="O88" s="18"/>
      <c r="P88" s="20"/>
      <c r="Q88" s="20"/>
      <c r="R88" s="18"/>
    </row>
    <row r="89" spans="1:19" ht="25.5" customHeight="1">
      <c r="A89" s="140" t="s">
        <v>145</v>
      </c>
      <c r="B89" s="140" t="s">
        <v>142</v>
      </c>
      <c r="C89" s="310" t="s">
        <v>143</v>
      </c>
      <c r="D89" s="532"/>
      <c r="E89" s="533"/>
      <c r="F89" s="533"/>
      <c r="G89" s="24"/>
      <c r="H89" s="181"/>
      <c r="I89" s="23"/>
      <c r="J89" s="204"/>
      <c r="K89" s="82"/>
      <c r="L89" s="510"/>
      <c r="M89" s="510"/>
      <c r="N89" s="510"/>
      <c r="O89" s="510"/>
      <c r="P89" s="20"/>
      <c r="Q89" s="20"/>
      <c r="R89" s="18"/>
    </row>
    <row r="90" spans="1:19" ht="25.5" customHeight="1">
      <c r="A90" s="494" t="s">
        <v>146</v>
      </c>
      <c r="B90" s="140" t="s">
        <v>147</v>
      </c>
      <c r="C90" s="310" t="s">
        <v>143</v>
      </c>
      <c r="D90" s="532"/>
      <c r="E90" s="533"/>
      <c r="F90" s="533"/>
      <c r="G90" s="24"/>
      <c r="H90" s="181"/>
      <c r="I90" s="23"/>
      <c r="J90" s="204"/>
      <c r="K90" s="134"/>
      <c r="L90" s="521"/>
      <c r="M90" s="521"/>
      <c r="N90" s="521"/>
      <c r="O90" s="521"/>
      <c r="P90" s="20"/>
      <c r="Q90" s="20"/>
      <c r="R90" s="18"/>
    </row>
    <row r="91" spans="1:19" s="18" customFormat="1" ht="25.5" customHeight="1">
      <c r="A91" s="494" t="s">
        <v>148</v>
      </c>
      <c r="B91" s="140" t="s">
        <v>142</v>
      </c>
      <c r="C91" s="310" t="s">
        <v>143</v>
      </c>
      <c r="D91" s="532"/>
      <c r="E91" s="533"/>
      <c r="F91" s="533"/>
      <c r="G91" s="50"/>
      <c r="H91" s="179"/>
      <c r="I91" s="57"/>
      <c r="J91" s="510"/>
      <c r="K91" s="510"/>
      <c r="L91" s="510"/>
      <c r="M91" s="510"/>
      <c r="N91" s="20"/>
      <c r="O91" s="20"/>
      <c r="P91" s="20"/>
      <c r="Q91" s="20"/>
      <c r="S91" s="301"/>
    </row>
    <row r="92" spans="1:19" s="18" customFormat="1" ht="25.5" customHeight="1">
      <c r="A92" s="494" t="s">
        <v>149</v>
      </c>
      <c r="B92" s="140" t="s">
        <v>142</v>
      </c>
      <c r="C92" s="310" t="s">
        <v>143</v>
      </c>
      <c r="D92" s="532"/>
      <c r="E92" s="533"/>
      <c r="F92" s="533"/>
      <c r="G92" s="50"/>
      <c r="H92" s="179"/>
      <c r="I92" s="57"/>
      <c r="J92" s="510"/>
      <c r="K92" s="510"/>
      <c r="L92" s="510"/>
      <c r="M92" s="510"/>
      <c r="N92" s="20"/>
      <c r="O92" s="20"/>
      <c r="P92" s="20"/>
      <c r="Q92" s="20"/>
      <c r="S92" s="301"/>
    </row>
    <row r="93" spans="1:19" s="18" customFormat="1" ht="25.5" customHeight="1">
      <c r="A93" s="494" t="s">
        <v>150</v>
      </c>
      <c r="B93" s="140" t="s">
        <v>142</v>
      </c>
      <c r="C93" s="310" t="s">
        <v>143</v>
      </c>
      <c r="D93" s="532"/>
      <c r="E93" s="533"/>
      <c r="F93" s="533"/>
      <c r="G93" s="50"/>
      <c r="H93" s="179"/>
      <c r="I93" s="57"/>
      <c r="J93" s="510"/>
      <c r="K93" s="510"/>
      <c r="L93" s="510"/>
      <c r="M93" s="510"/>
      <c r="N93" s="20"/>
      <c r="O93" s="20"/>
      <c r="P93" s="20"/>
      <c r="Q93" s="20"/>
      <c r="S93" s="301"/>
    </row>
    <row r="94" spans="1:19" ht="25.5" customHeight="1">
      <c r="A94" s="334" t="s">
        <v>151</v>
      </c>
      <c r="B94" s="194" t="s">
        <v>100</v>
      </c>
      <c r="C94" s="202"/>
      <c r="D94" s="525" t="str">
        <f>IF(C93="SELECT TRUE OR FALSE","",IF(AND(C87=TRUE,C88=TRUE,C89=TRUE,C90=TRUE,C91=TRUE,C92=TRUE,C93=TRUE),H85,0))</f>
        <v/>
      </c>
      <c r="E94" s="525"/>
      <c r="F94" s="525"/>
      <c r="G94" s="4"/>
      <c r="H94" s="309"/>
      <c r="I94" s="309"/>
      <c r="J94" s="61"/>
      <c r="K94" s="510"/>
      <c r="L94" s="23"/>
      <c r="M94" s="510"/>
      <c r="N94" s="510"/>
      <c r="O94" s="510"/>
      <c r="P94" s="20"/>
      <c r="Q94" s="20"/>
      <c r="R94" s="18"/>
    </row>
    <row r="95" spans="1:19" ht="19.5" customHeight="1" thickBot="1">
      <c r="A95" s="83"/>
      <c r="B95" s="83"/>
      <c r="C95" s="250"/>
      <c r="D95" s="24"/>
      <c r="E95" s="24"/>
      <c r="F95" s="24"/>
      <c r="G95" s="24"/>
      <c r="H95" s="181"/>
      <c r="I95" s="23"/>
      <c r="J95" s="82"/>
      <c r="K95" s="134"/>
      <c r="L95" s="510"/>
      <c r="M95" s="510"/>
      <c r="N95" s="510"/>
      <c r="O95" s="510"/>
      <c r="P95" s="20"/>
      <c r="Q95" s="20"/>
      <c r="R95" s="18"/>
    </row>
    <row r="96" spans="1:19" ht="31.5">
      <c r="A96" s="133" t="s">
        <v>152</v>
      </c>
      <c r="B96" s="80"/>
      <c r="C96" s="75" t="s">
        <v>37</v>
      </c>
      <c r="D96" s="535">
        <f>SUM(D98,D129,D137,D145)</f>
        <v>0</v>
      </c>
      <c r="E96" s="536"/>
      <c r="F96" s="537"/>
      <c r="G96" s="75" t="s">
        <v>17</v>
      </c>
      <c r="H96" s="240">
        <f>SUM(H98,H129,H137,H145)</f>
        <v>18</v>
      </c>
      <c r="I96" s="287"/>
      <c r="J96" s="18"/>
      <c r="K96" s="18"/>
      <c r="L96" s="18"/>
      <c r="M96" s="18"/>
      <c r="N96" s="20"/>
      <c r="O96" s="20"/>
      <c r="P96" s="20"/>
      <c r="Q96" s="20"/>
      <c r="R96" s="18"/>
    </row>
    <row r="97" spans="1:20" s="139" customFormat="1" ht="18.75" thickTop="1">
      <c r="A97" s="82"/>
      <c r="B97" s="82"/>
      <c r="C97" s="137"/>
      <c r="D97" s="137"/>
      <c r="E97" s="137"/>
      <c r="F97" s="137"/>
      <c r="G97" s="137"/>
      <c r="H97" s="251"/>
      <c r="I97" s="136"/>
      <c r="J97" s="137"/>
      <c r="K97" s="137"/>
      <c r="L97" s="138"/>
      <c r="M97" s="138"/>
      <c r="N97" s="138"/>
      <c r="O97" s="138"/>
      <c r="P97" s="138"/>
      <c r="Q97" s="138"/>
      <c r="R97" s="137"/>
      <c r="S97" s="299"/>
    </row>
    <row r="98" spans="1:20" s="355" customFormat="1" ht="18" customHeight="1">
      <c r="A98" s="42" t="s">
        <v>153</v>
      </c>
      <c r="B98" s="351" t="s">
        <v>154</v>
      </c>
      <c r="C98" s="191" t="s">
        <v>47</v>
      </c>
      <c r="D98" s="38">
        <f>SUM(H102,H111)</f>
        <v>0</v>
      </c>
      <c r="E98" s="189"/>
      <c r="F98" s="189"/>
      <c r="G98" s="190" t="s">
        <v>17</v>
      </c>
      <c r="H98" s="206">
        <v>5</v>
      </c>
      <c r="I98" s="352"/>
      <c r="J98" s="69"/>
      <c r="K98" s="353"/>
      <c r="L98" s="353"/>
      <c r="M98" s="353"/>
      <c r="N98" s="353"/>
      <c r="O98" s="353"/>
      <c r="P98" s="354"/>
      <c r="Q98" s="353"/>
      <c r="R98" s="353"/>
      <c r="T98" s="335"/>
    </row>
    <row r="99" spans="1:20" s="7" customFormat="1" ht="27.95" customHeight="1">
      <c r="A99" s="334" t="s">
        <v>155</v>
      </c>
      <c r="B99" s="334" t="s">
        <v>156</v>
      </c>
      <c r="C99" s="589" t="s">
        <v>157</v>
      </c>
      <c r="D99" s="590"/>
      <c r="E99" s="590"/>
      <c r="F99" s="590"/>
      <c r="G99" s="590"/>
      <c r="H99" s="591"/>
      <c r="I99" s="59"/>
      <c r="J99" s="82"/>
      <c r="K99" s="18"/>
      <c r="L99" s="18"/>
      <c r="M99" s="18"/>
      <c r="N99" s="18"/>
      <c r="O99" s="18"/>
      <c r="P99" s="20"/>
      <c r="Q99" s="18"/>
      <c r="R99" s="18"/>
      <c r="T99" s="356"/>
    </row>
    <row r="100" spans="1:20" s="7" customFormat="1" ht="15" customHeight="1">
      <c r="A100" s="83"/>
      <c r="B100" s="83"/>
      <c r="C100" s="357"/>
      <c r="D100" s="357"/>
      <c r="E100" s="357"/>
      <c r="F100" s="357"/>
      <c r="G100" s="357"/>
      <c r="H100" s="357"/>
      <c r="I100" s="59"/>
      <c r="J100" s="82"/>
      <c r="K100" s="18"/>
      <c r="L100" s="18"/>
      <c r="M100" s="18"/>
      <c r="N100" s="18"/>
      <c r="O100" s="18"/>
      <c r="P100" s="20"/>
      <c r="Q100" s="18"/>
      <c r="R100" s="18"/>
      <c r="T100" s="239"/>
    </row>
    <row r="101" spans="1:20" s="7" customFormat="1" ht="15" customHeight="1">
      <c r="A101" s="90" t="str">
        <f>IF(C99=Ranges!$D$1,"",IF(C99=Ranges!$D$2,"Please fill in this section.",IF(C99=Ranges!$D$3,"Please fill in this section","This section does not apply to this project.")))</f>
        <v>This section does not apply to this project.</v>
      </c>
      <c r="B101" s="358"/>
      <c r="C101" s="239"/>
      <c r="D101" s="359"/>
      <c r="E101" s="358"/>
      <c r="F101" s="358"/>
      <c r="G101" s="360"/>
      <c r="H101" s="361"/>
      <c r="I101" s="59"/>
      <c r="J101" s="82"/>
      <c r="K101" s="18"/>
      <c r="L101" s="18"/>
      <c r="M101" s="18"/>
      <c r="N101" s="18"/>
      <c r="O101" s="18"/>
      <c r="P101" s="20"/>
      <c r="Q101" s="18"/>
      <c r="R101" s="18"/>
    </row>
    <row r="102" spans="1:20" s="7" customFormat="1" ht="30" customHeight="1">
      <c r="A102" s="362" t="str">
        <f>IF(C99=Ranges!$D$2,"Total PITC persons served in households without children - 2016 AVG of Quarters",IF(C99=Ranges!$D$3,"Total PITC households with children served","Not Applicable"))</f>
        <v>Not Applicable</v>
      </c>
      <c r="B102" s="499" t="str">
        <f>IF(C99=Ranges!$D$2,"APR Q.8, table 3, row 1, col 2",IF(C99=Ranges!$D$3,"APR Q.9, table 2, row 1, col 3",""))</f>
        <v/>
      </c>
      <c r="C102" s="364" t="s">
        <v>158</v>
      </c>
      <c r="D102" s="365"/>
      <c r="E102" s="585" t="str">
        <f>IF(C99=Ranges!$D$2,"Bed utilization of at least 85% receives 5 points.",IF(C99=Ranges!$D$3,"Bed utilization of at least 85% receives 5 points.",""))</f>
        <v/>
      </c>
      <c r="F102" s="586"/>
      <c r="G102" s="587"/>
      <c r="H102" s="282" t="str">
        <f>IF(OR(COUNT(D108)=0,A101="This section does not apply to this project.",C99=Ranges!D1),"",IF(D108&gt;=0.85,5,0))</f>
        <v/>
      </c>
      <c r="I102" s="59"/>
      <c r="J102" s="82"/>
      <c r="K102" s="18"/>
      <c r="L102" s="18"/>
      <c r="M102" s="18"/>
      <c r="N102" s="18"/>
      <c r="O102" s="18"/>
      <c r="P102" s="20"/>
      <c r="Q102" s="18"/>
      <c r="R102" s="18"/>
    </row>
    <row r="103" spans="1:20" s="7" customFormat="1" ht="30" customHeight="1">
      <c r="A103" s="362"/>
      <c r="B103" s="499" t="str">
        <f>IF(C99=Ranges!$D$2,"APR Q.8, table 3, row 2, col 2",IF(C99=Ranges!$D$3,"APR Q.9, table 2, row 2, col 3",""))</f>
        <v/>
      </c>
      <c r="C103" s="364" t="s">
        <v>159</v>
      </c>
      <c r="D103" s="365"/>
      <c r="E103" s="82"/>
      <c r="F103" s="82"/>
      <c r="G103" s="82"/>
      <c r="H103" s="82"/>
      <c r="I103" s="59"/>
      <c r="J103" s="82"/>
      <c r="K103" s="18"/>
      <c r="L103" s="18"/>
      <c r="M103" s="18"/>
      <c r="N103" s="18"/>
      <c r="O103" s="18"/>
      <c r="P103" s="20"/>
      <c r="Q103" s="18"/>
      <c r="R103" s="18"/>
    </row>
    <row r="104" spans="1:20" s="7" customFormat="1" ht="30" customHeight="1">
      <c r="A104" s="362"/>
      <c r="B104" s="499" t="str">
        <f>IF(C99=Ranges!$D$2,"APR Q.8, table 3, row 3, col 2",IF(C99=Ranges!$D$3,"APR Q.9, table 2, row 3, col 3",""))</f>
        <v/>
      </c>
      <c r="C104" s="364" t="s">
        <v>160</v>
      </c>
      <c r="D104" s="365"/>
      <c r="E104" s="82"/>
      <c r="F104" s="82"/>
      <c r="G104" s="82"/>
      <c r="H104" s="82"/>
      <c r="I104" s="59"/>
      <c r="J104" s="82"/>
      <c r="K104" s="18"/>
      <c r="L104" s="18"/>
      <c r="M104" s="18"/>
      <c r="N104" s="18"/>
      <c r="O104" s="18"/>
      <c r="P104" s="20"/>
      <c r="Q104" s="18"/>
      <c r="R104" s="18"/>
    </row>
    <row r="105" spans="1:20" s="7" customFormat="1" ht="30" customHeight="1">
      <c r="A105" s="362"/>
      <c r="B105" s="499" t="str">
        <f>IF(C99=Ranges!$D$2,"APR Q.8, table 3, row 4, col 2",IF(C99=Ranges!$D$3,"APR Q.9, table 2, row 4, col 3",""))</f>
        <v/>
      </c>
      <c r="C105" s="364" t="s">
        <v>161</v>
      </c>
      <c r="D105" s="365"/>
      <c r="E105" s="82"/>
      <c r="F105" s="82"/>
      <c r="G105" s="82"/>
      <c r="H105" s="82"/>
      <c r="I105" s="59"/>
      <c r="J105" s="82"/>
      <c r="K105" s="18"/>
      <c r="L105" s="18"/>
      <c r="M105" s="18"/>
      <c r="N105" s="18"/>
      <c r="O105" s="18"/>
      <c r="P105" s="20"/>
      <c r="Q105" s="18"/>
      <c r="R105" s="18"/>
    </row>
    <row r="106" spans="1:20" s="7" customFormat="1" ht="30" customHeight="1">
      <c r="A106" s="362"/>
      <c r="B106" s="366" t="str">
        <f>IF(C99=Ranges!$D$2,"Calculation",IF(C99=Ranges!$D$3,"Calculation",""))</f>
        <v/>
      </c>
      <c r="C106" s="367" t="s">
        <v>162</v>
      </c>
      <c r="D106" s="368" t="str">
        <f>IF(ISBLANK(D105),"",AVERAGE(D102:D105))</f>
        <v/>
      </c>
      <c r="E106" s="82"/>
      <c r="F106" s="82"/>
      <c r="G106" s="82"/>
      <c r="H106" s="82"/>
      <c r="I106" s="59"/>
      <c r="J106" s="82"/>
      <c r="K106" s="18"/>
      <c r="L106" s="18"/>
      <c r="M106" s="18"/>
      <c r="N106" s="18"/>
      <c r="O106" s="18"/>
      <c r="P106" s="20"/>
      <c r="Q106" s="18"/>
      <c r="R106" s="18"/>
    </row>
    <row r="107" spans="1:20" s="7" customFormat="1" ht="30" customHeight="1">
      <c r="A107" s="362" t="str">
        <f>IF(C99=Ranges!$D$2,"Total beds for persons served in households without children - 2016 HIC",IF(C99=Ranges!$D$3,"Total number of units for households with children","Not Applicable"))</f>
        <v>Not Applicable</v>
      </c>
      <c r="B107" s="362" t="str">
        <f>IF(C99=Ranges!$D$2,"2016 Housing Inventory Count (HIC) A Chart",IF(C99=Ranges!$D$3,"2016 HIC",""))</f>
        <v/>
      </c>
      <c r="C107" s="370"/>
      <c r="D107" s="223"/>
      <c r="E107" s="82"/>
      <c r="F107" s="82"/>
      <c r="G107" s="267"/>
      <c r="H107" s="371"/>
      <c r="I107" s="59"/>
      <c r="J107" s="82"/>
      <c r="K107" s="18"/>
      <c r="L107" s="18"/>
      <c r="M107" s="18"/>
      <c r="N107" s="18"/>
      <c r="O107" s="18"/>
      <c r="P107" s="20"/>
      <c r="Q107" s="18"/>
      <c r="R107" s="18"/>
    </row>
    <row r="108" spans="1:20" s="7" customFormat="1" ht="30" customHeight="1">
      <c r="A108" s="372" t="str">
        <f>IF(C99=Ranges!$D$2,"Bed utilization for households without children",IF(C99=Ranges!$D$3,"Bed utilization for households with children",""))</f>
        <v/>
      </c>
      <c r="B108" s="373" t="str">
        <f>IF(C99=Ranges!$D$2,"Calculation",IF(C99=Ranges!$D$3,"Calculation",""))</f>
        <v/>
      </c>
      <c r="C108" s="374"/>
      <c r="D108" s="390" t="str">
        <f>IF(ISBLANK(D107),"",D106/D107)</f>
        <v/>
      </c>
      <c r="E108" s="239"/>
      <c r="F108" s="82"/>
      <c r="G108" s="82"/>
      <c r="H108" s="239"/>
      <c r="I108" s="59"/>
      <c r="J108" s="82"/>
      <c r="K108" s="18"/>
      <c r="L108" s="18"/>
      <c r="M108" s="18"/>
      <c r="N108" s="18"/>
      <c r="O108" s="18"/>
      <c r="P108" s="20"/>
      <c r="Q108" s="18"/>
      <c r="R108" s="18"/>
    </row>
    <row r="109" spans="1:20" s="7" customFormat="1" ht="17.25" customHeight="1">
      <c r="A109" s="376"/>
      <c r="B109" s="49"/>
      <c r="C109" s="377"/>
      <c r="D109" s="82"/>
      <c r="E109" s="82"/>
      <c r="F109" s="82"/>
      <c r="G109" s="267"/>
      <c r="H109" s="371"/>
      <c r="I109" s="59"/>
      <c r="J109" s="82"/>
      <c r="K109" s="18"/>
      <c r="L109" s="18"/>
      <c r="M109" s="18"/>
      <c r="N109" s="18"/>
      <c r="O109" s="18"/>
      <c r="P109" s="20"/>
      <c r="Q109" s="18"/>
      <c r="R109" s="18"/>
    </row>
    <row r="110" spans="1:20" s="7" customFormat="1" ht="15" customHeight="1">
      <c r="A110" s="90" t="str">
        <f>IF(C99=Ranges!$D$1,"",IF(C99=Ranges!$D$4,"Please fill in this section.","This section does not apply to this project."))</f>
        <v>Please fill in this section.</v>
      </c>
      <c r="B110" s="358"/>
      <c r="C110" s="239"/>
      <c r="D110" s="359"/>
      <c r="E110" s="358"/>
      <c r="F110" s="358"/>
      <c r="G110" s="360"/>
      <c r="H110" s="361"/>
      <c r="I110" s="59"/>
      <c r="J110" s="82"/>
      <c r="K110" s="18"/>
      <c r="L110" s="18"/>
      <c r="M110" s="18"/>
      <c r="N110" s="18"/>
      <c r="O110" s="18"/>
      <c r="P110" s="20"/>
      <c r="Q110" s="18"/>
      <c r="R110" s="18"/>
    </row>
    <row r="111" spans="1:20" s="7" customFormat="1" ht="30" customHeight="1">
      <c r="A111" s="362" t="str">
        <f>IF(C99=Ranges!$D$4,"Total PITC Persons in households without children served - 2016 AVG Quarters","Not Applicable")</f>
        <v>Total PITC Persons in households without children served - 2016 AVG Quarters</v>
      </c>
      <c r="B111" s="363" t="str">
        <f>IF(C99=Ranges!$D$4,"Q.8 table 3, row 1, col 2","")</f>
        <v>Q.8 table 3, row 1, col 2</v>
      </c>
      <c r="C111" s="364" t="s">
        <v>158</v>
      </c>
      <c r="D111" s="365"/>
      <c r="E111" s="588" t="str">
        <f>IF(C99=Ranges!$D$4,"If bed utilization is at least 85%, 5 points are earned.","")</f>
        <v>If bed utilization is at least 85%, 5 points are earned.</v>
      </c>
      <c r="F111" s="586"/>
      <c r="G111" s="587"/>
      <c r="H111" s="497" t="str">
        <f>IF(COUNT(D127)=0,"",IF(AND(C99=Ranges!$D$4,D127&gt;=0.85),5,IF(Ranges!$D$4=C99,0,"")))</f>
        <v/>
      </c>
      <c r="I111" s="59"/>
      <c r="J111" s="82"/>
      <c r="K111" s="18"/>
      <c r="L111" s="18"/>
      <c r="M111" s="18"/>
      <c r="N111" s="18"/>
      <c r="O111" s="18"/>
      <c r="P111" s="20"/>
      <c r="Q111" s="18"/>
      <c r="R111" s="18"/>
    </row>
    <row r="112" spans="1:20" s="7" customFormat="1" ht="30" customHeight="1">
      <c r="A112" s="362"/>
      <c r="B112" s="363" t="str">
        <f>IF(C99=Ranges!$D$4,"Q.8 table 3, row 2, col 2","")</f>
        <v>Q.8 table 3, row 2, col 2</v>
      </c>
      <c r="C112" s="364" t="s">
        <v>159</v>
      </c>
      <c r="D112" s="365"/>
      <c r="E112" s="500"/>
      <c r="F112" s="500"/>
      <c r="G112" s="500"/>
      <c r="H112" s="378"/>
      <c r="I112" s="59"/>
      <c r="J112" s="82"/>
      <c r="K112" s="18"/>
      <c r="L112" s="18"/>
      <c r="M112" s="18"/>
      <c r="N112" s="18"/>
      <c r="O112" s="18"/>
      <c r="P112" s="20"/>
      <c r="Q112" s="18"/>
      <c r="R112" s="18"/>
    </row>
    <row r="113" spans="1:18" s="7" customFormat="1" ht="30" customHeight="1">
      <c r="A113" s="362"/>
      <c r="B113" s="363" t="str">
        <f>IF(C99=Ranges!$D$4,"Q.8 table 3, row 3, col 2","")</f>
        <v>Q.8 table 3, row 3, col 2</v>
      </c>
      <c r="C113" s="364" t="s">
        <v>160</v>
      </c>
      <c r="D113" s="365"/>
      <c r="E113" s="500"/>
      <c r="F113" s="500"/>
      <c r="G113" s="500"/>
      <c r="H113" s="378"/>
      <c r="I113" s="59"/>
      <c r="J113" s="82"/>
      <c r="K113" s="18"/>
      <c r="L113" s="18"/>
      <c r="M113" s="18"/>
      <c r="N113" s="18"/>
      <c r="O113" s="18"/>
      <c r="P113" s="20"/>
      <c r="Q113" s="18"/>
      <c r="R113" s="18"/>
    </row>
    <row r="114" spans="1:18" s="7" customFormat="1" ht="30" customHeight="1">
      <c r="A114" s="362"/>
      <c r="B114" s="363" t="str">
        <f>IF(C99=Ranges!$D$4,"Q.8 table 3, row 4, col 2","")</f>
        <v>Q.8 table 3, row 4, col 2</v>
      </c>
      <c r="C114" s="364" t="s">
        <v>161</v>
      </c>
      <c r="D114" s="365"/>
      <c r="E114" s="500"/>
      <c r="F114" s="500"/>
      <c r="G114" s="500"/>
      <c r="H114" s="378"/>
      <c r="I114" s="59"/>
      <c r="J114" s="82"/>
      <c r="K114" s="18"/>
      <c r="L114" s="18"/>
      <c r="M114" s="18"/>
      <c r="N114" s="18"/>
      <c r="O114" s="18"/>
      <c r="P114" s="20"/>
      <c r="Q114" s="18"/>
      <c r="R114" s="18"/>
    </row>
    <row r="115" spans="1:18" s="7" customFormat="1" ht="30" customHeight="1">
      <c r="A115" s="362"/>
      <c r="B115" s="379" t="str">
        <f>IF(C99=Ranges!$D$4,"Calculation","")</f>
        <v>Calculation</v>
      </c>
      <c r="C115" s="380" t="s">
        <v>162</v>
      </c>
      <c r="D115" s="381" t="str">
        <f>IF(ISBLANK(D114),"",AVERAGE(D111:D114))</f>
        <v/>
      </c>
      <c r="E115" s="382"/>
      <c r="F115" s="82"/>
      <c r="G115" s="82"/>
      <c r="H115" s="267"/>
      <c r="I115" s="59"/>
      <c r="J115" s="82"/>
      <c r="K115" s="18"/>
      <c r="L115" s="18"/>
      <c r="M115" s="18"/>
      <c r="N115" s="18"/>
      <c r="O115" s="18"/>
      <c r="P115" s="20"/>
      <c r="Q115" s="18"/>
      <c r="R115" s="18"/>
    </row>
    <row r="116" spans="1:18" s="7" customFormat="1" ht="30" customHeight="1">
      <c r="A116" s="362" t="str">
        <f>IF(C99=Ranges!$D$4,"Total PITC Persons in households with children served - 2016 AVG Quarters","Not Applicable")</f>
        <v>Total PITC Persons in households with children served - 2016 AVG Quarters</v>
      </c>
      <c r="B116" s="363" t="str">
        <f>IF(C99=Ranges!$D$4,"APR Q.9, table 2, row 1, col 3","")</f>
        <v>APR Q.9, table 2, row 1, col 3</v>
      </c>
      <c r="C116" s="364" t="s">
        <v>158</v>
      </c>
      <c r="D116" s="365"/>
      <c r="E116" s="382"/>
      <c r="F116" s="82"/>
      <c r="G116" s="82"/>
      <c r="H116" s="267"/>
      <c r="I116" s="59"/>
      <c r="J116" s="82"/>
      <c r="K116" s="18"/>
      <c r="L116" s="18"/>
      <c r="M116" s="18"/>
      <c r="N116" s="18"/>
      <c r="O116" s="18"/>
      <c r="P116" s="20"/>
      <c r="Q116" s="18"/>
      <c r="R116" s="18"/>
    </row>
    <row r="117" spans="1:18" s="7" customFormat="1" ht="30" customHeight="1">
      <c r="A117" s="362"/>
      <c r="B117" s="363" t="str">
        <f>IF(C99=Ranges!$D$4,"APR Q.9, table 2, row 2, col 3","")</f>
        <v>APR Q.9, table 2, row 2, col 3</v>
      </c>
      <c r="C117" s="364" t="s">
        <v>159</v>
      </c>
      <c r="D117" s="365"/>
      <c r="E117" s="382"/>
      <c r="F117" s="82"/>
      <c r="G117" s="82"/>
      <c r="H117" s="267"/>
      <c r="I117" s="59"/>
      <c r="J117" s="82"/>
      <c r="K117" s="18"/>
      <c r="L117" s="18"/>
      <c r="M117" s="18"/>
      <c r="N117" s="18"/>
      <c r="O117" s="18"/>
      <c r="P117" s="20"/>
      <c r="Q117" s="18"/>
      <c r="R117" s="18"/>
    </row>
    <row r="118" spans="1:18" s="7" customFormat="1" ht="30" customHeight="1">
      <c r="A118" s="362"/>
      <c r="B118" s="363" t="str">
        <f>IF(C99=Ranges!$D$4,"APR Q.9, table 2, row 3, col 3","")</f>
        <v>APR Q.9, table 2, row 3, col 3</v>
      </c>
      <c r="C118" s="364" t="s">
        <v>160</v>
      </c>
      <c r="D118" s="365"/>
      <c r="E118" s="382"/>
      <c r="F118" s="82"/>
      <c r="G118" s="82"/>
      <c r="H118" s="267"/>
      <c r="I118" s="59"/>
      <c r="J118" s="82"/>
      <c r="K118" s="18"/>
      <c r="L118" s="18"/>
      <c r="M118" s="18"/>
      <c r="N118" s="18"/>
      <c r="O118" s="18"/>
      <c r="P118" s="20"/>
      <c r="Q118" s="18"/>
      <c r="R118" s="18"/>
    </row>
    <row r="119" spans="1:18" s="7" customFormat="1" ht="30" customHeight="1">
      <c r="A119" s="362"/>
      <c r="B119" s="363" t="str">
        <f>IF(C99=Ranges!$D$4,"APR Q.9, table 2, row 4, col 3","")</f>
        <v>APR Q.9, table 2, row 4, col 3</v>
      </c>
      <c r="C119" s="364" t="s">
        <v>161</v>
      </c>
      <c r="D119" s="365"/>
      <c r="E119" s="382"/>
      <c r="F119" s="82"/>
      <c r="G119" s="82"/>
      <c r="H119" s="267"/>
      <c r="I119" s="59"/>
      <c r="J119" s="82"/>
      <c r="K119" s="18"/>
      <c r="L119" s="18"/>
      <c r="M119" s="18"/>
      <c r="N119" s="18"/>
      <c r="O119" s="18"/>
      <c r="P119" s="20"/>
      <c r="Q119" s="18"/>
      <c r="R119" s="18"/>
    </row>
    <row r="120" spans="1:18" s="7" customFormat="1" ht="30" customHeight="1">
      <c r="A120" s="362"/>
      <c r="B120" s="366" t="str">
        <f>IF(C99=Ranges!$D$4,"Calculation","")</f>
        <v>Calculation</v>
      </c>
      <c r="C120" s="380" t="s">
        <v>162</v>
      </c>
      <c r="D120" s="381" t="str">
        <f>IF(ISBLANK(D119),"",AVERAGE(D116:D119))</f>
        <v/>
      </c>
      <c r="E120" s="382"/>
      <c r="F120" s="82"/>
      <c r="G120" s="82"/>
      <c r="H120" s="267"/>
      <c r="I120" s="59"/>
      <c r="J120" s="82"/>
      <c r="K120" s="18"/>
      <c r="L120" s="18"/>
      <c r="M120" s="18"/>
      <c r="N120" s="18"/>
      <c r="O120" s="18"/>
      <c r="P120" s="20"/>
      <c r="Q120" s="18"/>
      <c r="R120" s="18"/>
    </row>
    <row r="121" spans="1:18" s="7" customFormat="1" ht="30" customHeight="1">
      <c r="A121" s="383" t="str">
        <f>IF(C99=Ranges!$D$4,"Total PITC Households served - Average 2016","")</f>
        <v>Total PITC Households served - Average 2016</v>
      </c>
      <c r="B121" s="366" t="str">
        <f>IF(C99=Ranges!$D$4,"Calculation","")</f>
        <v>Calculation</v>
      </c>
      <c r="C121" s="12"/>
      <c r="D121" s="391" t="str">
        <f>IF(COUNT(D120)=0,"",D115+D120)</f>
        <v/>
      </c>
      <c r="E121" s="382"/>
      <c r="F121" s="83"/>
      <c r="G121" s="83"/>
      <c r="H121" s="50"/>
      <c r="I121" s="193"/>
      <c r="J121" s="82"/>
      <c r="K121" s="18"/>
      <c r="L121" s="18"/>
      <c r="M121" s="18"/>
      <c r="N121" s="18"/>
      <c r="O121" s="18"/>
      <c r="P121" s="20"/>
      <c r="Q121" s="18"/>
      <c r="R121" s="18"/>
    </row>
    <row r="122" spans="1:18" s="7" customFormat="1" ht="15" customHeight="1">
      <c r="A122" s="384"/>
      <c r="B122" s="369"/>
      <c r="C122" s="385"/>
      <c r="D122" s="359"/>
      <c r="E122" s="382"/>
      <c r="F122" s="382"/>
      <c r="G122" s="83"/>
      <c r="H122" s="50"/>
      <c r="I122" s="193"/>
      <c r="J122" s="82"/>
      <c r="K122" s="18"/>
      <c r="L122" s="18"/>
      <c r="M122" s="18"/>
      <c r="N122" s="18"/>
      <c r="O122" s="18"/>
      <c r="P122" s="20"/>
      <c r="Q122" s="18"/>
      <c r="R122" s="18"/>
    </row>
    <row r="123" spans="1:18" s="7" customFormat="1" ht="54.75" customHeight="1">
      <c r="A123" s="362" t="str">
        <f>IF(C99=Ranges!$D$4,"Total number of beds for households without children","Not Applicable")</f>
        <v>Total number of beds for households without children</v>
      </c>
      <c r="B123" s="369" t="str">
        <f>IF(C99=Ranges!$D$4,"2016 HIC beds HH w/o child","")</f>
        <v>2016 HIC beds HH w/o child</v>
      </c>
      <c r="C123" s="386"/>
      <c r="D123" s="365"/>
      <c r="E123" s="382"/>
      <c r="F123" s="528" t="s">
        <v>163</v>
      </c>
      <c r="G123" s="528"/>
      <c r="H123" s="382"/>
      <c r="I123" s="193"/>
      <c r="J123" s="82"/>
      <c r="K123" s="18"/>
      <c r="L123" s="18"/>
      <c r="M123" s="18"/>
      <c r="N123" s="18"/>
      <c r="O123" s="18"/>
      <c r="P123" s="20"/>
      <c r="Q123" s="18"/>
      <c r="R123" s="18"/>
    </row>
    <row r="124" spans="1:18" s="7" customFormat="1" ht="30" customHeight="1">
      <c r="A124" s="362" t="str">
        <f>IF(C99=Ranges!$D$4,"Total number of units for households with children","Not Applicable")</f>
        <v>Total number of units for households with children</v>
      </c>
      <c r="B124" s="369" t="str">
        <f>IF(C99=Ranges!$D$4,"2016 HIC Units HH w Child","")</f>
        <v>2016 HIC Units HH w Child</v>
      </c>
      <c r="C124" s="370"/>
      <c r="D124" s="365"/>
      <c r="E124" s="382"/>
      <c r="F124" s="382"/>
      <c r="G124" s="382"/>
      <c r="H124" s="382"/>
      <c r="I124" s="193"/>
      <c r="J124" s="82"/>
      <c r="K124" s="18"/>
      <c r="L124" s="18"/>
      <c r="M124" s="18"/>
      <c r="N124" s="18"/>
      <c r="O124" s="18"/>
      <c r="P124" s="20"/>
      <c r="Q124" s="18"/>
      <c r="R124" s="18"/>
    </row>
    <row r="125" spans="1:18" s="7" customFormat="1" ht="30" customHeight="1">
      <c r="A125" s="383" t="str">
        <f>IF(C99=Ranges!$D$4,"Total number of units","")</f>
        <v>Total number of units</v>
      </c>
      <c r="B125" s="373" t="str">
        <f>IF(C99=Ranges!$D$4,"Calculation","")</f>
        <v>Calculation</v>
      </c>
      <c r="C125" s="387"/>
      <c r="D125" s="391" t="str">
        <f>IF(AND(ISBLANK(D124),ISBLANK(D123)),"",D123+D124)</f>
        <v/>
      </c>
      <c r="E125" s="382"/>
      <c r="F125" s="382"/>
      <c r="G125" s="382"/>
      <c r="H125" s="382"/>
      <c r="I125" s="193"/>
      <c r="J125" s="82"/>
      <c r="K125" s="18"/>
      <c r="L125" s="18"/>
      <c r="M125" s="18"/>
      <c r="N125" s="18"/>
      <c r="O125" s="18"/>
      <c r="P125" s="20"/>
      <c r="Q125" s="18"/>
      <c r="R125" s="18"/>
    </row>
    <row r="126" spans="1:18" s="7" customFormat="1" ht="15" customHeight="1">
      <c r="A126" s="384"/>
      <c r="B126" s="369"/>
      <c r="C126" s="388"/>
      <c r="D126" s="388"/>
      <c r="E126" s="382"/>
      <c r="F126" s="382"/>
      <c r="G126" s="382"/>
      <c r="H126" s="382"/>
      <c r="I126" s="193"/>
      <c r="J126" s="82"/>
      <c r="K126" s="18"/>
      <c r="L126" s="18"/>
      <c r="M126" s="18"/>
      <c r="N126" s="18"/>
      <c r="O126" s="18"/>
      <c r="P126" s="20"/>
      <c r="Q126" s="18"/>
      <c r="R126" s="18"/>
    </row>
    <row r="127" spans="1:18" s="7" customFormat="1" ht="30" customHeight="1">
      <c r="A127" s="383" t="str">
        <f>IF(C99=Ranges!$D$4,"Bed utilization for households with and without children","Not Applicable")</f>
        <v>Bed utilization for households with and without children</v>
      </c>
      <c r="B127" s="373" t="str">
        <f>IF(C99=Ranges!$D$4,"Final Calculation","")</f>
        <v>Final Calculation</v>
      </c>
      <c r="C127" s="374"/>
      <c r="D127" s="375" t="str">
        <f>IF(D99=Ranges!$E$4,IF(OR(""=D121,""=D125),"",D121/D125),"")</f>
        <v/>
      </c>
      <c r="E127" s="382"/>
      <c r="F127" s="382"/>
      <c r="G127" s="382"/>
      <c r="H127" s="382"/>
      <c r="I127" s="193"/>
      <c r="J127" s="82"/>
      <c r="K127" s="18"/>
      <c r="L127" s="18"/>
      <c r="M127" s="18"/>
      <c r="N127" s="18"/>
      <c r="O127" s="18"/>
      <c r="P127" s="20"/>
      <c r="Q127" s="18"/>
      <c r="R127" s="18"/>
    </row>
    <row r="128" spans="1:18" customFormat="1">
      <c r="A128" s="389"/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</row>
    <row r="129" spans="1:19" s="7" customFormat="1" ht="45.95" customHeight="1">
      <c r="A129" s="480" t="s">
        <v>164</v>
      </c>
      <c r="B129" s="189"/>
      <c r="C129" s="191" t="s">
        <v>47</v>
      </c>
      <c r="D129" s="503">
        <f>SUM(G131:G134)</f>
        <v>0</v>
      </c>
      <c r="E129" s="189"/>
      <c r="F129" s="125"/>
      <c r="G129" s="190" t="s">
        <v>17</v>
      </c>
      <c r="H129" s="206">
        <v>4</v>
      </c>
      <c r="I129" s="59"/>
      <c r="J129" s="18"/>
      <c r="K129" s="82" t="s">
        <v>165</v>
      </c>
      <c r="L129" s="18"/>
      <c r="M129" s="18"/>
      <c r="N129" s="18"/>
      <c r="O129" s="18"/>
      <c r="P129" s="20"/>
      <c r="Q129" s="18"/>
      <c r="R129" s="18"/>
      <c r="S129" s="303" t="s">
        <v>166</v>
      </c>
    </row>
    <row r="130" spans="1:19" s="7" customFormat="1" ht="63" customHeight="1">
      <c r="A130" s="304" t="s">
        <v>39</v>
      </c>
      <c r="B130" s="304" t="s">
        <v>40</v>
      </c>
      <c r="C130" s="304" t="s">
        <v>41</v>
      </c>
      <c r="D130" s="538" t="s">
        <v>42</v>
      </c>
      <c r="E130" s="538"/>
      <c r="F130" s="538"/>
      <c r="G130" s="304" t="s">
        <v>43</v>
      </c>
      <c r="H130" s="180" t="s">
        <v>44</v>
      </c>
      <c r="I130" s="59"/>
      <c r="J130" s="18"/>
      <c r="K130" s="82"/>
      <c r="L130" s="18"/>
      <c r="M130" s="18"/>
      <c r="N130" s="18"/>
      <c r="O130" s="18"/>
      <c r="P130" s="20"/>
      <c r="Q130" s="18"/>
      <c r="R130" s="18"/>
      <c r="S130" s="292"/>
    </row>
    <row r="131" spans="1:19" ht="12" customHeight="1">
      <c r="A131" s="154" t="s">
        <v>110</v>
      </c>
      <c r="B131" s="155" t="s">
        <v>167</v>
      </c>
      <c r="C131" s="238">
        <f>H5</f>
        <v>0</v>
      </c>
      <c r="D131" s="459">
        <f>K131</f>
        <v>1.1000000000000001</v>
      </c>
      <c r="E131" s="460" t="s">
        <v>134</v>
      </c>
      <c r="F131" s="461" t="s">
        <v>91</v>
      </c>
      <c r="G131" s="281" t="str">
        <f>IF(COUNT(C135)=0,"",IF(C135&gt;D131,H131,""))</f>
        <v/>
      </c>
      <c r="H131" s="245">
        <v>0</v>
      </c>
      <c r="I131" s="23"/>
      <c r="J131" s="18"/>
      <c r="K131" s="252">
        <v>1.1000000000000001</v>
      </c>
      <c r="L131" s="82" t="s">
        <v>168</v>
      </c>
      <c r="M131" s="18"/>
      <c r="O131" s="18"/>
      <c r="P131" s="18"/>
      <c r="Q131" s="18"/>
      <c r="R131" s="18"/>
      <c r="S131" s="1" t="s">
        <v>169</v>
      </c>
    </row>
    <row r="132" spans="1:19" ht="36" customHeight="1">
      <c r="A132" s="491" t="s">
        <v>170</v>
      </c>
      <c r="B132" s="154" t="s">
        <v>171</v>
      </c>
      <c r="C132" s="91" t="s">
        <v>2</v>
      </c>
      <c r="D132" s="459">
        <f>F132-K132</f>
        <v>1</v>
      </c>
      <c r="E132" s="475" t="s">
        <v>89</v>
      </c>
      <c r="F132" s="461">
        <f>K131</f>
        <v>1.1000000000000001</v>
      </c>
      <c r="G132" s="281" t="str">
        <f>IF(OR(D132=$C$135,AND(D132&lt;$C$135, F132&gt;$C$135)),H132,"")</f>
        <v/>
      </c>
      <c r="H132" s="245">
        <f>H131+K$134</f>
        <v>1</v>
      </c>
      <c r="I132" s="124" t="s">
        <v>2</v>
      </c>
      <c r="J132" s="18"/>
      <c r="K132" s="158">
        <v>0.1</v>
      </c>
      <c r="L132" s="82" t="s">
        <v>172</v>
      </c>
      <c r="M132" s="18"/>
      <c r="O132" s="18"/>
      <c r="P132" s="18"/>
      <c r="Q132" s="18"/>
      <c r="R132" s="18"/>
      <c r="S132" s="1" t="s">
        <v>173</v>
      </c>
    </row>
    <row r="133" spans="1:19" ht="12" customHeight="1">
      <c r="A133" s="491" t="s">
        <v>174</v>
      </c>
      <c r="B133" s="157" t="s">
        <v>100</v>
      </c>
      <c r="C133" s="288" t="str">
        <f>IF(COUNT(C132)=0,"",C132/C131)</f>
        <v/>
      </c>
      <c r="D133" s="459">
        <f>K131-(4*K132)</f>
        <v>0.70000000000000007</v>
      </c>
      <c r="E133" s="475" t="s">
        <v>54</v>
      </c>
      <c r="F133" s="461">
        <f>K131-K132</f>
        <v>1</v>
      </c>
      <c r="G133" s="281" t="str">
        <f>IF(OR(D133=$C$135,AND(D133&lt;$C$135, F133&gt;$C$135)),H133,"")</f>
        <v/>
      </c>
      <c r="H133" s="245">
        <f>H132+K$134</f>
        <v>2</v>
      </c>
      <c r="I133" s="23"/>
      <c r="J133" s="18"/>
      <c r="K133" s="59">
        <f>H129</f>
        <v>4</v>
      </c>
      <c r="L133" s="82" t="s">
        <v>64</v>
      </c>
      <c r="M133" s="18"/>
      <c r="O133" s="18"/>
      <c r="P133" s="18"/>
      <c r="Q133" s="18"/>
      <c r="R133" s="18"/>
    </row>
    <row r="134" spans="1:19" ht="12" customHeight="1">
      <c r="A134" s="334" t="s">
        <v>175</v>
      </c>
      <c r="B134" s="499" t="s">
        <v>176</v>
      </c>
      <c r="C134" s="289"/>
      <c r="D134" s="459">
        <v>0</v>
      </c>
      <c r="E134" s="475" t="s">
        <v>54</v>
      </c>
      <c r="F134" s="461">
        <f>K131-(4*K132)</f>
        <v>0.70000000000000007</v>
      </c>
      <c r="G134" s="281" t="str">
        <f>IF(OR(D134=$C$135,AND(D134&lt;$C$135, F134&gt;$C$135)),H134,"")</f>
        <v/>
      </c>
      <c r="H134" s="245">
        <f>H133+(2*K$134)</f>
        <v>4</v>
      </c>
      <c r="I134" s="23"/>
      <c r="J134" s="18"/>
      <c r="K134" s="59">
        <f>K133/4</f>
        <v>1</v>
      </c>
      <c r="L134" s="83" t="s">
        <v>177</v>
      </c>
      <c r="M134" s="20"/>
      <c r="O134" s="18"/>
      <c r="P134" s="18"/>
      <c r="Q134" s="18"/>
      <c r="R134" s="18"/>
    </row>
    <row r="135" spans="1:19" ht="12" customHeight="1">
      <c r="A135" s="334" t="s">
        <v>178</v>
      </c>
      <c r="B135" s="152" t="s">
        <v>100</v>
      </c>
      <c r="C135" s="243" t="str">
        <f>IF(ISBLANK(C134),"",$C133/C134)</f>
        <v/>
      </c>
      <c r="D135" s="18"/>
      <c r="E135" s="18"/>
      <c r="F135" s="18"/>
      <c r="G135" s="59"/>
      <c r="H135" s="183"/>
      <c r="I135" s="23"/>
      <c r="J135" s="61"/>
      <c r="K135" s="510"/>
      <c r="L135" s="23"/>
      <c r="M135" s="18"/>
      <c r="O135" s="18"/>
      <c r="P135" s="18"/>
      <c r="Q135" s="18"/>
      <c r="R135" s="18"/>
    </row>
    <row r="136" spans="1:19" ht="12" customHeight="1">
      <c r="A136" s="83"/>
      <c r="B136" s="311"/>
      <c r="C136" s="312"/>
      <c r="D136" s="18"/>
      <c r="E136" s="18"/>
      <c r="F136" s="18"/>
      <c r="G136" s="59"/>
      <c r="H136" s="183"/>
      <c r="I136" s="23"/>
      <c r="J136" s="18"/>
      <c r="K136" s="18"/>
      <c r="L136" s="18"/>
      <c r="M136" s="18"/>
      <c r="O136" s="18"/>
      <c r="P136" s="18"/>
      <c r="Q136" s="18"/>
      <c r="R136" s="18"/>
    </row>
    <row r="137" spans="1:19" s="7" customFormat="1" ht="45.95" customHeight="1">
      <c r="A137" s="480" t="s">
        <v>179</v>
      </c>
      <c r="B137" s="189"/>
      <c r="C137" s="191" t="s">
        <v>47</v>
      </c>
      <c r="D137" s="503">
        <f>SUM(G139:G142)</f>
        <v>0</v>
      </c>
      <c r="E137" s="189"/>
      <c r="F137" s="125"/>
      <c r="G137" s="190" t="s">
        <v>17</v>
      </c>
      <c r="H137" s="206">
        <v>4</v>
      </c>
      <c r="I137" s="59"/>
      <c r="J137" s="18"/>
      <c r="K137" s="82" t="s">
        <v>165</v>
      </c>
      <c r="L137" s="18"/>
      <c r="M137" s="18"/>
      <c r="N137" s="18"/>
      <c r="O137" s="18"/>
      <c r="P137" s="20"/>
      <c r="Q137" s="18"/>
      <c r="R137" s="18"/>
      <c r="S137" s="303" t="s">
        <v>166</v>
      </c>
    </row>
    <row r="138" spans="1:19" s="7" customFormat="1" ht="60" customHeight="1">
      <c r="A138" s="304" t="s">
        <v>39</v>
      </c>
      <c r="B138" s="304" t="s">
        <v>40</v>
      </c>
      <c r="C138" s="304" t="s">
        <v>41</v>
      </c>
      <c r="D138" s="538" t="s">
        <v>42</v>
      </c>
      <c r="E138" s="538"/>
      <c r="F138" s="538"/>
      <c r="G138" s="304" t="s">
        <v>43</v>
      </c>
      <c r="H138" s="180" t="s">
        <v>44</v>
      </c>
      <c r="I138" s="59"/>
      <c r="J138" s="18"/>
      <c r="K138" s="82"/>
      <c r="L138" s="18"/>
      <c r="M138" s="18"/>
      <c r="N138" s="18"/>
      <c r="O138" s="18"/>
      <c r="P138" s="20"/>
      <c r="Q138" s="18"/>
      <c r="R138" s="18"/>
      <c r="S138" s="292"/>
    </row>
    <row r="139" spans="1:19" ht="12" customHeight="1">
      <c r="A139" s="154" t="s">
        <v>110</v>
      </c>
      <c r="B139" s="155" t="s">
        <v>167</v>
      </c>
      <c r="C139" s="238">
        <f>H5</f>
        <v>0</v>
      </c>
      <c r="D139" s="459">
        <f>K139</f>
        <v>1.1000000000000001</v>
      </c>
      <c r="E139" s="460" t="s">
        <v>134</v>
      </c>
      <c r="F139" s="461" t="s">
        <v>91</v>
      </c>
      <c r="G139" s="281" t="str">
        <f>IF(COUNT(C143)=0,"",IF(C143&gt;D139,H139,""))</f>
        <v/>
      </c>
      <c r="H139" s="245">
        <v>0</v>
      </c>
      <c r="I139" s="23"/>
      <c r="J139" s="18"/>
      <c r="K139" s="252">
        <v>1.1000000000000001</v>
      </c>
      <c r="L139" s="82" t="s">
        <v>168</v>
      </c>
      <c r="M139" s="18"/>
      <c r="O139" s="18"/>
      <c r="P139" s="18"/>
      <c r="Q139" s="18"/>
      <c r="R139" s="18"/>
      <c r="S139" s="1" t="s">
        <v>169</v>
      </c>
    </row>
    <row r="140" spans="1:19" ht="36" customHeight="1">
      <c r="A140" s="491" t="s">
        <v>180</v>
      </c>
      <c r="B140" s="154" t="s">
        <v>181</v>
      </c>
      <c r="C140" s="91"/>
      <c r="D140" s="459">
        <f>F140-K140</f>
        <v>1</v>
      </c>
      <c r="E140" s="460" t="s">
        <v>89</v>
      </c>
      <c r="F140" s="461">
        <f>K139</f>
        <v>1.1000000000000001</v>
      </c>
      <c r="G140" s="281" t="str">
        <f>IF(OR(D140=$C$135,AND(D140&lt;$C$135, F140&gt;$C$135)),H140,"")</f>
        <v/>
      </c>
      <c r="H140" s="245">
        <f>H139+K$134</f>
        <v>1</v>
      </c>
      <c r="I140" s="124" t="s">
        <v>2</v>
      </c>
      <c r="J140" s="18"/>
      <c r="K140" s="158">
        <v>0.1</v>
      </c>
      <c r="L140" s="82" t="s">
        <v>172</v>
      </c>
      <c r="M140" s="18"/>
      <c r="O140" s="18"/>
      <c r="P140" s="18"/>
      <c r="Q140" s="18"/>
      <c r="R140" s="18"/>
      <c r="S140" s="1" t="s">
        <v>173</v>
      </c>
    </row>
    <row r="141" spans="1:19" ht="12" customHeight="1">
      <c r="A141" s="491" t="s">
        <v>174</v>
      </c>
      <c r="B141" s="157" t="s">
        <v>100</v>
      </c>
      <c r="C141" s="288" t="str">
        <f>IF(ISBLANK(C140),"",C140/C139)</f>
        <v/>
      </c>
      <c r="D141" s="459">
        <f>K139-(4*K140)</f>
        <v>0.70000000000000007</v>
      </c>
      <c r="E141" s="460" t="s">
        <v>182</v>
      </c>
      <c r="F141" s="461">
        <f>K139-K140</f>
        <v>1</v>
      </c>
      <c r="G141" s="281" t="str">
        <f>IF(OR(D141=$C$135,AND(D141&lt;$C$135, F141&gt;$C$135)),H141,"")</f>
        <v/>
      </c>
      <c r="H141" s="245">
        <f>H140+K$134</f>
        <v>2</v>
      </c>
      <c r="I141" s="23"/>
      <c r="J141" s="18"/>
      <c r="K141" s="59">
        <f>H137</f>
        <v>4</v>
      </c>
      <c r="L141" s="82" t="s">
        <v>64</v>
      </c>
      <c r="M141" s="18"/>
      <c r="O141" s="18"/>
      <c r="P141" s="18"/>
      <c r="Q141" s="18"/>
      <c r="R141" s="18"/>
    </row>
    <row r="142" spans="1:19" ht="12" customHeight="1">
      <c r="A142" s="334" t="s">
        <v>175</v>
      </c>
      <c r="B142" s="499" t="s">
        <v>183</v>
      </c>
      <c r="C142" s="289"/>
      <c r="D142" s="459">
        <v>0</v>
      </c>
      <c r="E142" s="460" t="s">
        <v>182</v>
      </c>
      <c r="F142" s="461">
        <f>K139-(4*K140)</f>
        <v>0.70000000000000007</v>
      </c>
      <c r="G142" s="281" t="str">
        <f>IF(OR(D142=$C$135,AND(D142&lt;$C$135, F142&gt;$C$135)),H142,"")</f>
        <v/>
      </c>
      <c r="H142" s="245">
        <f>H141+(2*K$134)</f>
        <v>4</v>
      </c>
      <c r="I142" s="23"/>
      <c r="J142" s="18"/>
      <c r="K142" s="59">
        <f>K141/4</f>
        <v>1</v>
      </c>
      <c r="L142" s="83" t="s">
        <v>177</v>
      </c>
      <c r="M142" s="20"/>
      <c r="O142" s="18"/>
      <c r="P142" s="18"/>
      <c r="Q142" s="18"/>
      <c r="R142" s="18"/>
    </row>
    <row r="143" spans="1:19" ht="12" customHeight="1">
      <c r="A143" s="334" t="s">
        <v>178</v>
      </c>
      <c r="B143" s="152" t="s">
        <v>100</v>
      </c>
      <c r="C143" s="243" t="str">
        <f>IF(ISBLANK(C142),"",$C141/C142)</f>
        <v/>
      </c>
      <c r="D143" s="18"/>
      <c r="E143" s="18"/>
      <c r="F143" s="18"/>
      <c r="G143" s="59"/>
      <c r="H143" s="183"/>
      <c r="I143" s="23"/>
      <c r="J143" s="61"/>
      <c r="K143" s="510"/>
      <c r="L143" s="23"/>
      <c r="M143" s="18"/>
      <c r="O143" s="18"/>
      <c r="P143" s="18"/>
      <c r="Q143" s="18"/>
      <c r="R143" s="18"/>
    </row>
    <row r="144" spans="1:19" ht="12" customHeight="1">
      <c r="A144" s="83"/>
      <c r="B144" s="311"/>
      <c r="C144" s="312"/>
      <c r="D144" s="18"/>
      <c r="E144" s="18"/>
      <c r="F144" s="18"/>
      <c r="G144" s="59"/>
      <c r="H144" s="183"/>
      <c r="I144" s="23"/>
      <c r="J144" s="18"/>
      <c r="K144" s="18"/>
      <c r="L144" s="18"/>
      <c r="M144" s="18"/>
      <c r="O144" s="18"/>
      <c r="P144" s="18"/>
      <c r="Q144" s="18"/>
      <c r="R144" s="18"/>
    </row>
    <row r="145" spans="1:22" s="7" customFormat="1" ht="27.95" customHeight="1">
      <c r="A145" s="42" t="s">
        <v>184</v>
      </c>
      <c r="B145" s="189"/>
      <c r="C145" s="191" t="s">
        <v>47</v>
      </c>
      <c r="D145" s="503">
        <f>H148</f>
        <v>0</v>
      </c>
      <c r="E145" s="189"/>
      <c r="F145" s="125"/>
      <c r="G145" s="190" t="s">
        <v>17</v>
      </c>
      <c r="H145" s="206">
        <v>5</v>
      </c>
      <c r="I145" s="59"/>
      <c r="J145" s="18"/>
      <c r="K145" s="18"/>
      <c r="L145" s="18"/>
      <c r="M145" s="18"/>
      <c r="N145" s="18"/>
      <c r="O145" s="18"/>
      <c r="P145" s="20"/>
      <c r="Q145" s="18"/>
      <c r="R145" s="18"/>
      <c r="S145" s="292"/>
    </row>
    <row r="146" spans="1:22" ht="12.75" customHeight="1">
      <c r="A146" s="154" t="s">
        <v>185</v>
      </c>
      <c r="B146" s="155" t="s">
        <v>186</v>
      </c>
      <c r="C146" s="213"/>
      <c r="D146" s="92"/>
      <c r="E146" s="93"/>
      <c r="F146" s="94"/>
      <c r="G146" s="87"/>
      <c r="H146" s="181"/>
      <c r="I146" s="58"/>
      <c r="J146" s="18"/>
      <c r="K146" s="18"/>
      <c r="L146" s="18"/>
      <c r="M146" s="18"/>
      <c r="O146" s="18"/>
      <c r="P146" s="18"/>
      <c r="Q146" s="18"/>
      <c r="R146" s="18"/>
    </row>
    <row r="147" spans="1:22" ht="12.75" customHeight="1">
      <c r="A147" s="573" t="s">
        <v>187</v>
      </c>
      <c r="B147" s="573"/>
      <c r="C147" s="213"/>
      <c r="D147" s="92"/>
      <c r="E147" s="93"/>
      <c r="F147" s="94"/>
      <c r="G147" s="50"/>
      <c r="H147" s="179"/>
      <c r="I147" s="23"/>
      <c r="J147" s="20"/>
      <c r="K147" s="20"/>
      <c r="L147" s="18"/>
      <c r="M147" s="18"/>
      <c r="N147" s="20"/>
      <c r="O147" s="20"/>
      <c r="P147" s="20"/>
      <c r="Q147" s="20"/>
      <c r="R147" s="18"/>
    </row>
    <row r="148" spans="1:22" ht="12.75" customHeight="1">
      <c r="A148" s="154" t="s">
        <v>188</v>
      </c>
      <c r="B148" s="157" t="s">
        <v>100</v>
      </c>
      <c r="C148" s="98" t="str">
        <f>IF(ISBLANK(C147),"",C146/C147)</f>
        <v/>
      </c>
      <c r="D148" s="92"/>
      <c r="E148" s="592" t="s">
        <v>189</v>
      </c>
      <c r="F148" s="593"/>
      <c r="G148" s="594"/>
      <c r="H148" s="526">
        <f>IF(C151="",0,IF(OR(C151&gt;0.95,C151=0.95),H145,IF(OR(ISBLANK(C146),C146=0,ISBLANK(C147),C147=0,ISBLANK(C149),C149=0),"",0)))</f>
        <v>0</v>
      </c>
      <c r="I148" s="23"/>
      <c r="J148" s="20"/>
      <c r="K148" s="20"/>
      <c r="L148" s="20"/>
      <c r="M148" s="20"/>
      <c r="N148" s="20"/>
      <c r="O148" s="20"/>
      <c r="P148" s="20"/>
      <c r="Q148" s="20"/>
      <c r="R148" s="18"/>
    </row>
    <row r="149" spans="1:22" ht="27.75" customHeight="1">
      <c r="A149" s="140" t="s">
        <v>190</v>
      </c>
      <c r="B149" s="495" t="s">
        <v>191</v>
      </c>
      <c r="C149" s="278"/>
      <c r="D149" s="92"/>
      <c r="E149" s="595"/>
      <c r="F149" s="596"/>
      <c r="G149" s="597"/>
      <c r="H149" s="527"/>
      <c r="I149" s="23"/>
      <c r="J149" s="339"/>
      <c r="K149" s="20"/>
      <c r="L149" s="20"/>
      <c r="M149" s="20"/>
      <c r="N149" s="20"/>
      <c r="O149" s="20"/>
      <c r="P149" s="20"/>
      <c r="Q149" s="20"/>
      <c r="R149" s="18"/>
    </row>
    <row r="150" spans="1:22" ht="12.75" customHeight="1">
      <c r="A150" s="584" t="s">
        <v>192</v>
      </c>
      <c r="B150" s="584"/>
      <c r="C150" s="97" t="str">
        <f>IF(ISBLANK(C149),"",C149/12)</f>
        <v/>
      </c>
      <c r="D150" s="83"/>
      <c r="E150" s="83"/>
      <c r="F150" s="83"/>
      <c r="G150" s="95"/>
      <c r="H150" s="185"/>
      <c r="I150" s="193"/>
      <c r="J150" s="20" t="s">
        <v>2</v>
      </c>
      <c r="K150" s="20"/>
      <c r="L150" s="20"/>
      <c r="M150" s="20"/>
      <c r="N150" s="510"/>
      <c r="O150" s="510"/>
      <c r="P150" s="510"/>
      <c r="Q150" s="20"/>
      <c r="R150" s="18"/>
    </row>
    <row r="151" spans="1:22" s="7" customFormat="1" ht="26.25" customHeight="1">
      <c r="A151" s="154" t="s">
        <v>193</v>
      </c>
      <c r="B151" s="157" t="s">
        <v>100</v>
      </c>
      <c r="C151" s="244" t="str">
        <f>IF(OR(C150=0,C147=0),"",C148/C150)</f>
        <v/>
      </c>
      <c r="D151" s="83"/>
      <c r="E151" s="83"/>
      <c r="F151" s="83"/>
      <c r="G151" s="95"/>
      <c r="H151" s="185"/>
      <c r="I151" s="193"/>
      <c r="J151" s="61"/>
      <c r="K151" s="510"/>
      <c r="L151" s="23"/>
      <c r="M151" s="20"/>
      <c r="N151" s="510"/>
      <c r="O151" s="510"/>
      <c r="P151" s="510"/>
      <c r="Q151" s="20"/>
      <c r="R151" s="18"/>
      <c r="S151" s="292"/>
    </row>
    <row r="152" spans="1:22" s="7" customFormat="1" ht="19.5" customHeight="1" thickBot="1">
      <c r="A152" s="574" t="s">
        <v>2</v>
      </c>
      <c r="B152" s="575"/>
      <c r="C152" s="103"/>
      <c r="D152" s="83"/>
      <c r="E152" s="83"/>
      <c r="F152" s="83"/>
      <c r="G152" s="95"/>
      <c r="H152" s="185"/>
      <c r="I152" s="193"/>
      <c r="J152" s="20"/>
      <c r="K152" s="20"/>
      <c r="L152" s="20"/>
      <c r="M152" s="20"/>
      <c r="N152" s="510"/>
      <c r="O152" s="510"/>
      <c r="P152" s="510"/>
      <c r="Q152" s="20"/>
      <c r="R152" s="18"/>
      <c r="S152" s="292"/>
    </row>
    <row r="153" spans="1:22" s="76" customFormat="1" ht="20.100000000000001" customHeight="1" thickTop="1" thickBot="1">
      <c r="A153" s="133" t="s">
        <v>194</v>
      </c>
      <c r="B153" s="80"/>
      <c r="C153" s="79" t="s">
        <v>37</v>
      </c>
      <c r="D153" s="535">
        <f>SUM(D155,D163,D171,D180)</f>
        <v>0</v>
      </c>
      <c r="E153" s="536"/>
      <c r="F153" s="537"/>
      <c r="G153" s="75" t="s">
        <v>17</v>
      </c>
      <c r="H153" s="240">
        <f>SUM(H155,H163,H171,H180)</f>
        <v>26</v>
      </c>
      <c r="I153" s="73"/>
      <c r="J153" s="33"/>
      <c r="K153" s="33"/>
      <c r="L153" s="78"/>
      <c r="M153" s="77"/>
      <c r="N153" s="77"/>
      <c r="O153" s="77"/>
      <c r="P153" s="77"/>
      <c r="Q153" s="77"/>
      <c r="R153" s="77"/>
      <c r="S153" s="294"/>
    </row>
    <row r="154" spans="1:22" s="66" customFormat="1" ht="61.5" customHeight="1" thickTop="1">
      <c r="A154" s="493" t="s">
        <v>39</v>
      </c>
      <c r="B154" s="493" t="s">
        <v>40</v>
      </c>
      <c r="C154" s="493" t="s">
        <v>41</v>
      </c>
      <c r="D154" s="538" t="s">
        <v>42</v>
      </c>
      <c r="E154" s="538"/>
      <c r="F154" s="538"/>
      <c r="G154" s="493" t="s">
        <v>43</v>
      </c>
      <c r="H154" s="186" t="s">
        <v>44</v>
      </c>
      <c r="I154" s="493"/>
      <c r="J154" s="53" t="s">
        <v>45</v>
      </c>
      <c r="K154" s="67"/>
      <c r="L154" s="67"/>
      <c r="M154" s="67"/>
      <c r="N154" s="67"/>
      <c r="O154" s="67"/>
      <c r="P154" s="67"/>
      <c r="Q154" s="67"/>
      <c r="R154" s="67"/>
      <c r="S154" s="295"/>
    </row>
    <row r="155" spans="1:22" s="7" customFormat="1" ht="27.95" customHeight="1">
      <c r="A155" s="42" t="s">
        <v>195</v>
      </c>
      <c r="B155" s="189"/>
      <c r="C155" s="191" t="s">
        <v>47</v>
      </c>
      <c r="D155" s="503">
        <f>SUM(G156:G161)</f>
        <v>0</v>
      </c>
      <c r="E155" s="189"/>
      <c r="F155" s="125"/>
      <c r="G155" s="190" t="s">
        <v>17</v>
      </c>
      <c r="H155" s="206">
        <v>5</v>
      </c>
      <c r="I155" s="193"/>
      <c r="J155" s="20"/>
      <c r="K155" s="20"/>
      <c r="L155" s="20"/>
      <c r="M155" s="20"/>
      <c r="N155" s="20"/>
      <c r="O155" s="20"/>
      <c r="P155" s="20"/>
      <c r="Q155" s="20"/>
      <c r="R155" s="18"/>
      <c r="S155" s="292" t="s">
        <v>196</v>
      </c>
    </row>
    <row r="156" spans="1:22" ht="33" customHeight="1">
      <c r="A156" s="154" t="s">
        <v>197</v>
      </c>
      <c r="B156" s="155" t="s">
        <v>198</v>
      </c>
      <c r="C156" s="13"/>
      <c r="D156" s="459">
        <v>0</v>
      </c>
      <c r="E156" s="460" t="s">
        <v>89</v>
      </c>
      <c r="F156" s="461">
        <f>J158</f>
        <v>1</v>
      </c>
      <c r="G156" s="141" t="str">
        <f>IF(F156&gt;C161,H156,"")</f>
        <v/>
      </c>
      <c r="H156" s="245">
        <v>0</v>
      </c>
      <c r="I156" s="492"/>
      <c r="J156" s="61"/>
      <c r="K156" s="510"/>
      <c r="L156" s="23"/>
      <c r="M156" s="510"/>
      <c r="N156" s="510"/>
      <c r="O156" s="510"/>
      <c r="P156" s="510"/>
      <c r="Q156" s="510"/>
      <c r="R156" s="21"/>
      <c r="S156" s="300"/>
      <c r="T156" s="8"/>
      <c r="U156" s="8"/>
      <c r="V156" s="8"/>
    </row>
    <row r="157" spans="1:22" ht="28.5" customHeight="1">
      <c r="A157" s="154" t="s">
        <v>199</v>
      </c>
      <c r="B157" s="155" t="s">
        <v>200</v>
      </c>
      <c r="C157" s="13"/>
      <c r="D157" s="459">
        <f>F156</f>
        <v>1</v>
      </c>
      <c r="E157" s="460" t="s">
        <v>57</v>
      </c>
      <c r="F157" s="461">
        <f>D157+$J$159</f>
        <v>1.1499999999999999</v>
      </c>
      <c r="G157" s="141" t="str">
        <f>IF(OR(D157=$C$161,AND(D157&lt;$C$161,F157&gt;$C$161)),H157,"")</f>
        <v/>
      </c>
      <c r="H157" s="245">
        <f>H156+J$161</f>
        <v>1</v>
      </c>
      <c r="I157" s="492"/>
      <c r="J157" s="27">
        <v>1</v>
      </c>
      <c r="K157" s="510" t="s">
        <v>98</v>
      </c>
      <c r="L157" s="510"/>
      <c r="M157" s="510"/>
      <c r="N157" s="134" t="s">
        <v>2</v>
      </c>
      <c r="O157" s="510"/>
      <c r="P157" s="510"/>
      <c r="Q157" s="510"/>
      <c r="R157" s="21"/>
      <c r="S157" s="300"/>
      <c r="T157" s="8"/>
      <c r="U157" s="8"/>
      <c r="V157" s="8"/>
    </row>
    <row r="158" spans="1:22" ht="28.5" customHeight="1">
      <c r="A158" s="159" t="s">
        <v>201</v>
      </c>
      <c r="B158" s="155" t="s">
        <v>202</v>
      </c>
      <c r="C158" s="13"/>
      <c r="D158" s="459">
        <f>F157</f>
        <v>1.1499999999999999</v>
      </c>
      <c r="E158" s="460" t="s">
        <v>57</v>
      </c>
      <c r="F158" s="461">
        <f>D158+$J$159</f>
        <v>1.2999999999999998</v>
      </c>
      <c r="G158" s="141" t="str">
        <f>IF(OR(D158=$C$161,AND(D158&lt;$C$161,F158&gt;$C$161)),H158,"")</f>
        <v/>
      </c>
      <c r="H158" s="245">
        <f>H157+J$161</f>
        <v>2</v>
      </c>
      <c r="I158" s="193"/>
      <c r="J158" s="28">
        <v>1</v>
      </c>
      <c r="K158" s="510" t="s">
        <v>83</v>
      </c>
      <c r="L158" s="23"/>
      <c r="M158" s="23"/>
      <c r="N158" s="134" t="s">
        <v>2</v>
      </c>
      <c r="O158" s="510"/>
      <c r="P158" s="510"/>
      <c r="Q158" s="20"/>
      <c r="R158" s="18"/>
    </row>
    <row r="159" spans="1:22" ht="28.5" customHeight="1">
      <c r="A159" s="159" t="s">
        <v>203</v>
      </c>
      <c r="B159" s="160" t="s">
        <v>100</v>
      </c>
      <c r="C159" s="161" t="str">
        <f>IF(COUNT(C158)=0,"",SUM(C156:C158))</f>
        <v/>
      </c>
      <c r="D159" s="459">
        <f t="shared" ref="D159:D161" si="14">F158</f>
        <v>1.2999999999999998</v>
      </c>
      <c r="E159" s="460" t="s">
        <v>57</v>
      </c>
      <c r="F159" s="461">
        <f>D159+$J$159</f>
        <v>1.4499999999999997</v>
      </c>
      <c r="G159" s="141" t="str">
        <f>IF(OR(D159=$C$161,AND(D159&lt;$C$161,F159&gt;$C$161)),H159,"")</f>
        <v/>
      </c>
      <c r="H159" s="245">
        <f>H158+J$161</f>
        <v>3</v>
      </c>
      <c r="I159" s="57"/>
      <c r="J159" s="28">
        <v>0.15</v>
      </c>
      <c r="K159" s="510" t="s">
        <v>84</v>
      </c>
      <c r="L159" s="23"/>
      <c r="M159" s="23"/>
      <c r="N159" s="510"/>
      <c r="O159" s="510"/>
      <c r="P159" s="510"/>
      <c r="Q159" s="20"/>
      <c r="R159" s="18"/>
    </row>
    <row r="160" spans="1:22" ht="28.5" customHeight="1">
      <c r="A160" s="159" t="s">
        <v>204</v>
      </c>
      <c r="B160" s="159" t="s">
        <v>205</v>
      </c>
      <c r="C160" s="254">
        <f>H6</f>
        <v>0</v>
      </c>
      <c r="D160" s="459">
        <f t="shared" si="14"/>
        <v>1.4499999999999997</v>
      </c>
      <c r="E160" s="460" t="s">
        <v>57</v>
      </c>
      <c r="F160" s="461">
        <f>D160+$J$159</f>
        <v>1.5999999999999996</v>
      </c>
      <c r="G160" s="141" t="str">
        <f>IF(OR(D160=$C$161,AND(D160&lt;$C$161,F160&gt;$C$161)),H160,"")</f>
        <v/>
      </c>
      <c r="H160" s="245">
        <f>H159+J$161</f>
        <v>4</v>
      </c>
      <c r="I160" s="57"/>
      <c r="J160" s="24">
        <f>H155</f>
        <v>5</v>
      </c>
      <c r="K160" s="510" t="s">
        <v>64</v>
      </c>
      <c r="L160" s="23"/>
      <c r="M160" s="23"/>
      <c r="N160" s="510"/>
      <c r="O160" s="510"/>
      <c r="P160" s="510"/>
      <c r="Q160" s="20"/>
      <c r="R160" s="18"/>
    </row>
    <row r="161" spans="1:19" ht="28.5" customHeight="1">
      <c r="A161" s="159" t="s">
        <v>206</v>
      </c>
      <c r="B161" s="160" t="s">
        <v>100</v>
      </c>
      <c r="C161" s="207" t="str">
        <f>IF(COUNT(C159)=0,"",C159/C160)</f>
        <v/>
      </c>
      <c r="D161" s="459">
        <f t="shared" si="14"/>
        <v>1.5999999999999996</v>
      </c>
      <c r="E161" s="460" t="s">
        <v>134</v>
      </c>
      <c r="F161" s="461" t="s">
        <v>91</v>
      </c>
      <c r="G161" s="141" t="str">
        <f>IF(C161="","",IF(OR(D161=$C$161,D161&lt;$C$161),H161,""))</f>
        <v/>
      </c>
      <c r="H161" s="245">
        <f>H160+J$161</f>
        <v>5</v>
      </c>
      <c r="I161" s="57"/>
      <c r="J161" s="24">
        <f>H155/5</f>
        <v>1</v>
      </c>
      <c r="K161" s="510" t="s">
        <v>67</v>
      </c>
      <c r="L161" s="23"/>
      <c r="M161" s="23"/>
      <c r="N161" s="510"/>
      <c r="O161" s="510"/>
      <c r="P161" s="510"/>
      <c r="Q161" s="20"/>
      <c r="R161" s="18"/>
    </row>
    <row r="162" spans="1:19" ht="13.5" customHeight="1">
      <c r="A162" s="149"/>
      <c r="B162" s="150"/>
      <c r="C162" s="253"/>
      <c r="D162" s="18"/>
      <c r="E162" s="18"/>
      <c r="F162" s="18"/>
      <c r="G162" s="59"/>
      <c r="H162" s="183"/>
      <c r="I162" s="59"/>
      <c r="J162" s="18"/>
      <c r="K162" s="510"/>
      <c r="L162" s="510"/>
      <c r="M162" s="510"/>
      <c r="N162" s="510"/>
      <c r="O162" s="510"/>
      <c r="P162" s="510"/>
      <c r="Q162" s="18"/>
      <c r="R162" s="18"/>
    </row>
    <row r="163" spans="1:19" ht="30" customHeight="1">
      <c r="A163" s="42" t="s">
        <v>207</v>
      </c>
      <c r="B163" s="189"/>
      <c r="C163" s="191" t="s">
        <v>47</v>
      </c>
      <c r="D163" s="503">
        <f>SUM(G164:G168)</f>
        <v>0</v>
      </c>
      <c r="E163" s="189"/>
      <c r="F163" s="125"/>
      <c r="G163" s="190" t="s">
        <v>17</v>
      </c>
      <c r="H163" s="206">
        <v>4</v>
      </c>
      <c r="I163" s="59"/>
      <c r="J163" s="61"/>
      <c r="K163" s="510"/>
      <c r="L163" s="23"/>
      <c r="M163" s="510"/>
      <c r="N163" s="510"/>
      <c r="O163" s="510"/>
      <c r="P163" s="510"/>
      <c r="Q163" s="18"/>
      <c r="R163" s="18"/>
      <c r="S163" s="291" t="s">
        <v>208</v>
      </c>
    </row>
    <row r="164" spans="1:19" ht="29.25" customHeight="1">
      <c r="A164" s="154" t="s">
        <v>209</v>
      </c>
      <c r="B164" s="155" t="s">
        <v>210</v>
      </c>
      <c r="C164" s="13"/>
      <c r="D164" s="459">
        <v>0</v>
      </c>
      <c r="E164" s="460" t="s">
        <v>89</v>
      </c>
      <c r="F164" s="461">
        <f>J165</f>
        <v>0.4</v>
      </c>
      <c r="G164" s="281" t="str">
        <f>IF(F$164&gt;C$169,H164,"")</f>
        <v/>
      </c>
      <c r="H164" s="245">
        <v>0</v>
      </c>
      <c r="I164" s="59"/>
      <c r="J164" s="82" t="s">
        <v>211</v>
      </c>
      <c r="K164" s="510"/>
      <c r="L164" s="510"/>
      <c r="M164" s="510"/>
      <c r="N164" s="134" t="s">
        <v>2</v>
      </c>
      <c r="O164" s="510"/>
      <c r="P164" s="510"/>
      <c r="Q164" s="18"/>
      <c r="R164" s="18"/>
    </row>
    <row r="165" spans="1:19" ht="30.75" customHeight="1">
      <c r="A165" s="154" t="s">
        <v>212</v>
      </c>
      <c r="B165" s="155" t="s">
        <v>213</v>
      </c>
      <c r="C165" s="13"/>
      <c r="D165" s="459">
        <f>F164</f>
        <v>0.4</v>
      </c>
      <c r="E165" s="460" t="s">
        <v>57</v>
      </c>
      <c r="F165" s="461">
        <f>D165+J166</f>
        <v>0.6</v>
      </c>
      <c r="G165" s="281" t="str">
        <f>IF(OR(D165=$C$169,AND(D165&lt;$C$169,F165&gt;$C$169)),H165,"")</f>
        <v/>
      </c>
      <c r="H165" s="245">
        <f>J168</f>
        <v>1</v>
      </c>
      <c r="I165" s="59"/>
      <c r="J165" s="208">
        <v>0.4</v>
      </c>
      <c r="K165" s="134" t="s">
        <v>214</v>
      </c>
      <c r="L165" s="510"/>
      <c r="M165" s="510"/>
      <c r="N165" s="510"/>
      <c r="O165" s="510"/>
      <c r="P165" s="510"/>
      <c r="Q165" s="18"/>
      <c r="R165" s="18"/>
    </row>
    <row r="166" spans="1:19" ht="30.75" customHeight="1">
      <c r="A166" s="154" t="s">
        <v>215</v>
      </c>
      <c r="B166" s="155" t="s">
        <v>216</v>
      </c>
      <c r="C166" s="13"/>
      <c r="D166" s="459">
        <f>F165</f>
        <v>0.6</v>
      </c>
      <c r="E166" s="460" t="s">
        <v>57</v>
      </c>
      <c r="F166" s="461">
        <f>D166+J166</f>
        <v>0.79999999999999993</v>
      </c>
      <c r="G166" s="281" t="str">
        <f t="shared" ref="G166:G167" si="15">IF(OR(D166=$C$169,AND(D166&lt;$C$169,F166&gt;$C$169)),H166,"")</f>
        <v/>
      </c>
      <c r="H166" s="245">
        <f>H165+J168</f>
        <v>2</v>
      </c>
      <c r="I166" s="59"/>
      <c r="J166" s="208">
        <f>(1-J165)/3</f>
        <v>0.19999999999999998</v>
      </c>
      <c r="K166" s="134" t="s">
        <v>217</v>
      </c>
      <c r="L166" s="510"/>
      <c r="M166" s="510"/>
      <c r="N166" s="510"/>
      <c r="O166" s="510"/>
      <c r="P166" s="510"/>
      <c r="Q166" s="18"/>
      <c r="R166" s="18"/>
    </row>
    <row r="167" spans="1:19" ht="12.75" customHeight="1">
      <c r="A167" s="334" t="s">
        <v>218</v>
      </c>
      <c r="B167" s="194" t="s">
        <v>100</v>
      </c>
      <c r="C167" s="127" t="str">
        <f>IF(ISBLANK(C166),"",SUM(C164:C166))</f>
        <v/>
      </c>
      <c r="D167" s="459">
        <f>F166</f>
        <v>0.79999999999999993</v>
      </c>
      <c r="E167" s="460" t="s">
        <v>57</v>
      </c>
      <c r="F167" s="461">
        <f>D167+J166</f>
        <v>0.99999999999999989</v>
      </c>
      <c r="G167" s="281" t="str">
        <f t="shared" si="15"/>
        <v/>
      </c>
      <c r="H167" s="245">
        <f>H166+J168</f>
        <v>3</v>
      </c>
      <c r="I167" s="59"/>
      <c r="J167" s="18">
        <f>H163</f>
        <v>4</v>
      </c>
      <c r="K167" s="510" t="s">
        <v>64</v>
      </c>
      <c r="L167" s="510"/>
      <c r="M167" s="510"/>
      <c r="N167" s="510"/>
      <c r="O167" s="510"/>
      <c r="P167" s="510"/>
      <c r="Q167" s="18"/>
      <c r="R167" s="18"/>
    </row>
    <row r="168" spans="1:19" ht="13.5" customHeight="1">
      <c r="A168" s="495" t="s">
        <v>219</v>
      </c>
      <c r="B168" s="236" t="s">
        <v>220</v>
      </c>
      <c r="C168" s="14">
        <f>H5</f>
        <v>0</v>
      </c>
      <c r="D168" s="459">
        <f>F167</f>
        <v>0.99999999999999989</v>
      </c>
      <c r="E168" s="460" t="s">
        <v>134</v>
      </c>
      <c r="F168" s="461" t="s">
        <v>91</v>
      </c>
      <c r="G168" s="281" t="str">
        <f>IF(C169="","",IF(OR(D168=$C$169,D168&lt;$C$169),H168,""))</f>
        <v/>
      </c>
      <c r="H168" s="245">
        <f>H167+J168</f>
        <v>4</v>
      </c>
      <c r="I168" s="59"/>
      <c r="J168" s="18">
        <f>J167/4</f>
        <v>1</v>
      </c>
      <c r="K168" s="510" t="s">
        <v>67</v>
      </c>
      <c r="L168" s="510"/>
      <c r="M168" s="510"/>
      <c r="N168" s="510"/>
      <c r="O168" s="510"/>
      <c r="P168" s="510"/>
      <c r="Q168" s="18"/>
      <c r="R168" s="18"/>
    </row>
    <row r="169" spans="1:19" ht="13.5" customHeight="1">
      <c r="A169" s="154" t="s">
        <v>221</v>
      </c>
      <c r="B169" s="157" t="s">
        <v>100</v>
      </c>
      <c r="C169" s="319" t="str">
        <f>IF(COUNT(C167)=0,"",C167/C168)</f>
        <v/>
      </c>
      <c r="D169" s="471" t="s">
        <v>2</v>
      </c>
      <c r="E169" s="463" t="s">
        <v>2</v>
      </c>
      <c r="F169" s="464"/>
      <c r="G169" s="218" t="s">
        <v>2</v>
      </c>
      <c r="H169" s="255" t="s">
        <v>2</v>
      </c>
      <c r="I169" s="59"/>
      <c r="J169" s="18"/>
      <c r="K169" s="18"/>
      <c r="L169" s="18"/>
      <c r="M169" s="18"/>
      <c r="N169" s="510"/>
      <c r="O169" s="510"/>
      <c r="P169" s="510"/>
      <c r="Q169" s="18"/>
      <c r="R169" s="18"/>
    </row>
    <row r="170" spans="1:19" ht="13.5" customHeight="1">
      <c r="A170" s="149"/>
      <c r="B170" s="150"/>
      <c r="C170" s="151"/>
      <c r="D170" s="18"/>
      <c r="E170" s="18"/>
      <c r="F170" s="18"/>
      <c r="G170" s="59"/>
      <c r="H170" s="183"/>
      <c r="I170" s="59"/>
      <c r="J170" s="18"/>
      <c r="K170" s="510"/>
      <c r="L170" s="510"/>
      <c r="M170" s="510"/>
      <c r="N170" s="510"/>
      <c r="O170" s="510"/>
      <c r="P170" s="510"/>
      <c r="Q170" s="18"/>
      <c r="R170" s="18"/>
    </row>
    <row r="171" spans="1:19" ht="18" customHeight="1">
      <c r="A171" s="42" t="s">
        <v>222</v>
      </c>
      <c r="B171" s="189"/>
      <c r="C171" s="191" t="s">
        <v>47</v>
      </c>
      <c r="D171" s="503">
        <f>SUM(G172:G178)</f>
        <v>0</v>
      </c>
      <c r="E171" s="189"/>
      <c r="F171" s="125"/>
      <c r="G171" s="190" t="s">
        <v>17</v>
      </c>
      <c r="H171" s="206">
        <v>12</v>
      </c>
      <c r="I171" s="59"/>
      <c r="J171" s="82" t="s">
        <v>211</v>
      </c>
      <c r="K171" s="510"/>
      <c r="L171" s="510"/>
      <c r="M171" s="510"/>
      <c r="N171" s="510"/>
      <c r="O171" s="510"/>
      <c r="P171" s="510"/>
      <c r="Q171" s="18"/>
      <c r="R171" s="18"/>
      <c r="S171" s="291" t="s">
        <v>208</v>
      </c>
    </row>
    <row r="172" spans="1:19" ht="25.5" customHeight="1">
      <c r="A172" s="499" t="s">
        <v>223</v>
      </c>
      <c r="B172" s="498" t="s">
        <v>224</v>
      </c>
      <c r="C172" s="16"/>
      <c r="D172" s="459">
        <v>0</v>
      </c>
      <c r="E172" s="460" t="s">
        <v>89</v>
      </c>
      <c r="F172" s="461">
        <f>J173</f>
        <v>1</v>
      </c>
      <c r="G172" s="281" t="str">
        <f>IF(F172&gt;$C$178,H172,"")</f>
        <v/>
      </c>
      <c r="H172" s="245">
        <v>0</v>
      </c>
      <c r="I172" s="348"/>
      <c r="J172" s="158"/>
      <c r="K172" s="134"/>
      <c r="L172" s="510"/>
      <c r="M172" s="510"/>
      <c r="N172" s="134" t="s">
        <v>2</v>
      </c>
      <c r="O172" s="510"/>
      <c r="P172" s="510"/>
      <c r="Q172" s="18"/>
      <c r="R172" s="18"/>
    </row>
    <row r="173" spans="1:19" ht="13.5" customHeight="1">
      <c r="A173" s="154" t="s">
        <v>225</v>
      </c>
      <c r="B173" s="155" t="s">
        <v>226</v>
      </c>
      <c r="C173" s="16"/>
      <c r="D173" s="459">
        <f>F172</f>
        <v>1</v>
      </c>
      <c r="E173" s="460" t="s">
        <v>57</v>
      </c>
      <c r="F173" s="461">
        <f>D173+J174</f>
        <v>1.5</v>
      </c>
      <c r="G173" s="281" t="str">
        <f>IF(OR(D173=$C$178,AND(D173&lt;$C$178,F173&gt;$C$178)),H173,"")</f>
        <v/>
      </c>
      <c r="H173" s="245">
        <f>H172+J$176</f>
        <v>3</v>
      </c>
      <c r="I173" s="59"/>
      <c r="J173" s="208">
        <v>1</v>
      </c>
      <c r="K173" s="134" t="s">
        <v>227</v>
      </c>
      <c r="L173" s="510"/>
      <c r="M173" s="510"/>
      <c r="N173" s="510"/>
      <c r="O173" s="510"/>
      <c r="P173" s="510"/>
      <c r="Q173" s="18"/>
      <c r="R173" s="18"/>
    </row>
    <row r="174" spans="1:19" ht="13.5" customHeight="1">
      <c r="A174" s="154" t="s">
        <v>228</v>
      </c>
      <c r="B174" s="155" t="s">
        <v>229</v>
      </c>
      <c r="C174" s="16"/>
      <c r="D174" s="459">
        <f>F173</f>
        <v>1.5</v>
      </c>
      <c r="E174" s="460" t="s">
        <v>57</v>
      </c>
      <c r="F174" s="461">
        <f>D174+J174</f>
        <v>2</v>
      </c>
      <c r="G174" s="281" t="str">
        <f>IF(OR(D174=$C$178,AND(D174&lt;$C$178,F174&gt;$C$178)),H174,"")</f>
        <v/>
      </c>
      <c r="H174" s="245">
        <f>H173+J$176</f>
        <v>6</v>
      </c>
      <c r="I174" s="59"/>
      <c r="J174" s="208">
        <v>0.5</v>
      </c>
      <c r="K174" s="134" t="s">
        <v>230</v>
      </c>
      <c r="L174" s="510"/>
      <c r="M174" s="510"/>
      <c r="N174" s="510"/>
      <c r="O174" s="510"/>
      <c r="P174" s="510"/>
      <c r="Q174" s="18"/>
      <c r="R174" s="18"/>
    </row>
    <row r="175" spans="1:19" ht="13.5" customHeight="1">
      <c r="A175" s="498" t="s">
        <v>231</v>
      </c>
      <c r="B175" s="498" t="s">
        <v>232</v>
      </c>
      <c r="C175" s="13"/>
      <c r="D175" s="459">
        <f>F174</f>
        <v>2</v>
      </c>
      <c r="E175" s="460"/>
      <c r="F175" s="461">
        <f>D175+J174</f>
        <v>2.5</v>
      </c>
      <c r="G175" s="281" t="str">
        <f>IF(OR(D175=$C$178,AND(D175&lt;$C$178,F175&gt;$C$178)),H175,"")</f>
        <v/>
      </c>
      <c r="H175" s="245">
        <f t="shared" ref="H175:H176" si="16">H174+J$176</f>
        <v>9</v>
      </c>
      <c r="I175" s="59"/>
      <c r="J175" s="18">
        <v>12</v>
      </c>
      <c r="K175" s="510" t="s">
        <v>64</v>
      </c>
      <c r="L175" s="510"/>
      <c r="M175" s="510"/>
      <c r="N175" s="510"/>
      <c r="O175" s="510"/>
      <c r="P175" s="510"/>
      <c r="Q175" s="18"/>
      <c r="R175" s="18"/>
    </row>
    <row r="176" spans="1:19" ht="13.5" customHeight="1">
      <c r="A176" s="154" t="s">
        <v>233</v>
      </c>
      <c r="B176" s="157" t="s">
        <v>234</v>
      </c>
      <c r="C176" s="153" t="str">
        <f>IF(ISBLANK(C175),"",SUM(C172:C175))</f>
        <v/>
      </c>
      <c r="D176" s="459">
        <f>F175</f>
        <v>2.5</v>
      </c>
      <c r="E176" s="460" t="s">
        <v>134</v>
      </c>
      <c r="F176" s="461" t="s">
        <v>91</v>
      </c>
      <c r="G176" s="281" t="str">
        <f>IF(COUNT(C178)=0,"",IF(OR(D176=$C$178,D176&lt;$C$178),H176,""))</f>
        <v/>
      </c>
      <c r="H176" s="245">
        <f t="shared" si="16"/>
        <v>12</v>
      </c>
      <c r="I176" s="59"/>
      <c r="J176" s="203">
        <v>3</v>
      </c>
      <c r="K176" s="134" t="s">
        <v>235</v>
      </c>
      <c r="L176" s="510"/>
      <c r="M176" s="510"/>
      <c r="N176" s="510"/>
      <c r="O176" s="510"/>
      <c r="P176" s="510"/>
      <c r="Q176" s="18"/>
      <c r="R176" s="18"/>
    </row>
    <row r="177" spans="1:19" ht="13.5" customHeight="1">
      <c r="A177" s="154" t="s">
        <v>236</v>
      </c>
      <c r="B177" s="155" t="s">
        <v>220</v>
      </c>
      <c r="C177" s="153">
        <f>H5</f>
        <v>0</v>
      </c>
      <c r="D177" s="472"/>
      <c r="E177" s="463"/>
      <c r="F177" s="464"/>
      <c r="G177" s="346"/>
      <c r="H177" s="347"/>
      <c r="I177" s="59"/>
      <c r="J177" s="349"/>
      <c r="K177" s="510"/>
      <c r="L177" s="23"/>
      <c r="M177" s="510"/>
      <c r="N177" s="510"/>
      <c r="O177" s="510"/>
      <c r="P177" s="510"/>
      <c r="Q177" s="18"/>
      <c r="R177" s="18"/>
    </row>
    <row r="178" spans="1:19" ht="13.5" customHeight="1">
      <c r="A178" s="334" t="s">
        <v>237</v>
      </c>
      <c r="B178" s="194" t="s">
        <v>100</v>
      </c>
      <c r="C178" s="209" t="str">
        <f>IF(OR(COUNT(C176)=0,COUNT(C177)=0),"",C176/C177)</f>
        <v/>
      </c>
      <c r="D178" s="473"/>
      <c r="E178" s="93"/>
      <c r="F178" s="94"/>
      <c r="G178" s="95"/>
      <c r="H178" s="24"/>
      <c r="I178" s="59"/>
      <c r="J178" s="18"/>
      <c r="K178" s="18"/>
      <c r="L178" s="510"/>
      <c r="M178" s="510"/>
      <c r="N178" s="510"/>
      <c r="O178" s="510"/>
      <c r="P178" s="510"/>
      <c r="Q178" s="18"/>
      <c r="R178" s="18"/>
    </row>
    <row r="179" spans="1:19" ht="13.5" customHeight="1">
      <c r="A179" s="148"/>
      <c r="B179" s="148"/>
      <c r="C179" s="148"/>
      <c r="D179" s="148"/>
      <c r="E179" s="148"/>
      <c r="F179" s="148"/>
      <c r="G179" s="148"/>
      <c r="H179" s="178"/>
      <c r="I179" s="59"/>
      <c r="J179" s="18"/>
      <c r="K179" s="18"/>
      <c r="L179" s="18"/>
      <c r="M179" s="18"/>
      <c r="N179" s="510"/>
      <c r="O179" s="510"/>
      <c r="P179" s="510"/>
      <c r="Q179" s="18"/>
      <c r="R179" s="18"/>
    </row>
    <row r="180" spans="1:19" s="7" customFormat="1" ht="27.95" customHeight="1">
      <c r="A180" s="42" t="s">
        <v>238</v>
      </c>
      <c r="B180" s="189"/>
      <c r="C180" s="191" t="s">
        <v>47</v>
      </c>
      <c r="D180" s="503">
        <f>SUM(G181:G186)</f>
        <v>0</v>
      </c>
      <c r="E180" s="189"/>
      <c r="F180" s="125"/>
      <c r="G180" s="190" t="s">
        <v>17</v>
      </c>
      <c r="H180" s="206">
        <v>5</v>
      </c>
      <c r="I180" s="193"/>
      <c r="J180" s="20"/>
      <c r="K180" s="20"/>
      <c r="L180" s="20"/>
      <c r="M180" s="20"/>
      <c r="N180" s="20"/>
      <c r="O180" s="20"/>
      <c r="P180" s="20"/>
      <c r="Q180" s="20"/>
      <c r="R180" s="18"/>
      <c r="S180" s="292"/>
    </row>
    <row r="181" spans="1:19" ht="39" customHeight="1">
      <c r="A181" s="154" t="s">
        <v>239</v>
      </c>
      <c r="B181" s="155" t="s">
        <v>240</v>
      </c>
      <c r="C181" s="15"/>
      <c r="D181" s="459">
        <v>0</v>
      </c>
      <c r="E181" s="460" t="s">
        <v>89</v>
      </c>
      <c r="F181" s="461">
        <f>J182</f>
        <v>0.5</v>
      </c>
      <c r="G181" s="141" t="str">
        <f>IF(F181&gt;$C$185,H181,"")</f>
        <v/>
      </c>
      <c r="H181" s="245">
        <v>0</v>
      </c>
      <c r="I181" s="193"/>
      <c r="J181" s="27">
        <v>1</v>
      </c>
      <c r="K181" s="510" t="s">
        <v>241</v>
      </c>
      <c r="L181" s="23"/>
      <c r="M181" s="23"/>
      <c r="N181" s="134" t="s">
        <v>2</v>
      </c>
      <c r="O181" s="20"/>
      <c r="P181" s="20"/>
      <c r="Q181" s="20"/>
      <c r="R181" s="18"/>
      <c r="S181" s="291" t="s">
        <v>242</v>
      </c>
    </row>
    <row r="182" spans="1:19" ht="12.75" customHeight="1">
      <c r="A182" s="154" t="s">
        <v>243</v>
      </c>
      <c r="B182" s="155" t="s">
        <v>244</v>
      </c>
      <c r="C182" s="16"/>
      <c r="D182" s="459">
        <f>F181</f>
        <v>0.5</v>
      </c>
      <c r="E182" s="460" t="s">
        <v>57</v>
      </c>
      <c r="F182" s="461">
        <f>D182+$J$183</f>
        <v>0.6</v>
      </c>
      <c r="G182" s="141" t="str">
        <f>IF(OR(D182=$C$185,AND(D182&lt;$C$185, F182&gt;$C$185)),H182,"")</f>
        <v/>
      </c>
      <c r="H182" s="245">
        <f>H181+J$185</f>
        <v>1</v>
      </c>
      <c r="I182" s="57"/>
      <c r="J182" s="28">
        <f>0.5*J181</f>
        <v>0.5</v>
      </c>
      <c r="K182" s="510" t="s">
        <v>83</v>
      </c>
      <c r="L182" s="23"/>
      <c r="M182" s="23"/>
      <c r="N182" s="20"/>
      <c r="O182" s="20"/>
      <c r="P182" s="20"/>
      <c r="Q182" s="20"/>
      <c r="R182" s="18"/>
    </row>
    <row r="183" spans="1:19" ht="12.75" customHeight="1">
      <c r="A183" s="615" t="s">
        <v>245</v>
      </c>
      <c r="B183" s="616"/>
      <c r="C183" s="283" t="str">
        <f>IF(ISBLANK(C182),"",SUM(C181:C182))</f>
        <v/>
      </c>
      <c r="D183" s="459">
        <f t="shared" ref="D183:D186" si="17">F182</f>
        <v>0.6</v>
      </c>
      <c r="E183" s="460" t="s">
        <v>57</v>
      </c>
      <c r="F183" s="461">
        <f>D183+$J$183</f>
        <v>0.7</v>
      </c>
      <c r="G183" s="141" t="str">
        <f t="shared" ref="G183:G185" si="18">IF(OR(D183=$C$185,AND(D183&lt;$C$185, F183&gt;$C$185)),H183,"")</f>
        <v/>
      </c>
      <c r="H183" s="245">
        <f>H182+J$185</f>
        <v>2</v>
      </c>
      <c r="I183" s="57"/>
      <c r="J183" s="28">
        <f>(1-J182)/5</f>
        <v>0.1</v>
      </c>
      <c r="K183" s="510" t="s">
        <v>84</v>
      </c>
      <c r="L183" s="23"/>
      <c r="M183" s="23"/>
      <c r="N183" s="20"/>
      <c r="O183" s="20"/>
      <c r="P183" s="20"/>
      <c r="Q183" s="20"/>
      <c r="R183" s="18"/>
    </row>
    <row r="184" spans="1:19" ht="12.75" customHeight="1">
      <c r="A184" s="495" t="s">
        <v>246</v>
      </c>
      <c r="B184" s="236" t="s">
        <v>220</v>
      </c>
      <c r="C184" s="284">
        <f>H5</f>
        <v>0</v>
      </c>
      <c r="D184" s="459">
        <f t="shared" si="17"/>
        <v>0.7</v>
      </c>
      <c r="E184" s="460" t="s">
        <v>57</v>
      </c>
      <c r="F184" s="461">
        <f>D184+$J$183</f>
        <v>0.79999999999999993</v>
      </c>
      <c r="G184" s="141" t="str">
        <f t="shared" si="18"/>
        <v/>
      </c>
      <c r="H184" s="245">
        <f>H183+J$185</f>
        <v>3</v>
      </c>
      <c r="I184" s="57"/>
      <c r="J184" s="24">
        <f>H180</f>
        <v>5</v>
      </c>
      <c r="K184" s="510" t="s">
        <v>64</v>
      </c>
      <c r="L184" s="23"/>
      <c r="M184" s="23"/>
      <c r="N184" s="20"/>
      <c r="O184" s="20"/>
      <c r="P184" s="20"/>
      <c r="Q184" s="20"/>
      <c r="R184" s="18"/>
    </row>
    <row r="185" spans="1:19" ht="28.5" customHeight="1">
      <c r="A185" s="154" t="s">
        <v>247</v>
      </c>
      <c r="B185" s="157" t="s">
        <v>248</v>
      </c>
      <c r="C185" s="263" t="str">
        <f>IF(OR(COUNT(C183)=0,COUNT(C184)=0),"",C183/C184)</f>
        <v/>
      </c>
      <c r="D185" s="459">
        <f t="shared" si="17"/>
        <v>0.79999999999999993</v>
      </c>
      <c r="E185" s="460" t="s">
        <v>57</v>
      </c>
      <c r="F185" s="461">
        <f>D185+$J$183</f>
        <v>0.89999999999999991</v>
      </c>
      <c r="G185" s="141" t="str">
        <f t="shared" si="18"/>
        <v/>
      </c>
      <c r="H185" s="245">
        <f>H184+J$185</f>
        <v>4</v>
      </c>
      <c r="I185" s="57"/>
      <c r="J185" s="24">
        <f>J184/5</f>
        <v>1</v>
      </c>
      <c r="K185" s="510" t="s">
        <v>67</v>
      </c>
      <c r="L185" s="23"/>
      <c r="M185" s="23"/>
      <c r="N185" s="20"/>
      <c r="O185" s="20"/>
      <c r="P185" s="20"/>
      <c r="Q185" s="20"/>
      <c r="R185" s="18"/>
    </row>
    <row r="186" spans="1:19" ht="14.1" customHeight="1">
      <c r="A186" s="583" t="s">
        <v>2</v>
      </c>
      <c r="B186" s="583"/>
      <c r="C186" s="256"/>
      <c r="D186" s="459">
        <f t="shared" si="17"/>
        <v>0.89999999999999991</v>
      </c>
      <c r="E186" s="460" t="s">
        <v>54</v>
      </c>
      <c r="F186" s="461">
        <f>D186+$J$183</f>
        <v>0.99999999999999989</v>
      </c>
      <c r="G186" s="141" t="str">
        <f>IF(C185="","",IF(OR(D186=$C$185,D186&lt;$C$185),H186,""))</f>
        <v/>
      </c>
      <c r="H186" s="245">
        <f>H185+J$185</f>
        <v>5</v>
      </c>
      <c r="I186" s="57"/>
      <c r="J186" s="61"/>
      <c r="K186" s="510"/>
      <c r="L186" s="23"/>
      <c r="M186" s="510"/>
      <c r="N186" s="20"/>
      <c r="O186" s="20"/>
      <c r="P186" s="20"/>
      <c r="Q186" s="20"/>
      <c r="R186" s="18"/>
    </row>
    <row r="187" spans="1:19" ht="19.5" customHeight="1" thickBot="1">
      <c r="A187" s="148"/>
      <c r="B187" s="148"/>
      <c r="C187" s="59"/>
      <c r="D187" s="130"/>
      <c r="E187" s="9"/>
      <c r="F187" s="94"/>
      <c r="G187" s="50"/>
      <c r="H187" s="182"/>
      <c r="I187" s="57"/>
      <c r="J187" s="510"/>
      <c r="K187" s="510"/>
      <c r="L187" s="510"/>
      <c r="M187" s="510"/>
      <c r="N187" s="20"/>
      <c r="O187" s="20"/>
      <c r="P187" s="20"/>
      <c r="Q187" s="20"/>
      <c r="R187" s="18"/>
    </row>
    <row r="188" spans="1:19" ht="37.5" customHeight="1" thickTop="1" thickBot="1">
      <c r="A188" s="133" t="s">
        <v>249</v>
      </c>
      <c r="B188" s="80"/>
      <c r="C188" s="75" t="s">
        <v>37</v>
      </c>
      <c r="D188" s="535">
        <f>SUM(D190+D195+D203+D211)</f>
        <v>0</v>
      </c>
      <c r="E188" s="536"/>
      <c r="F188" s="537"/>
      <c r="G188" s="75" t="s">
        <v>17</v>
      </c>
      <c r="H188" s="240">
        <f>SUM(H190,H195,H203,H211)</f>
        <v>22</v>
      </c>
      <c r="I188" s="57"/>
      <c r="J188" s="510"/>
      <c r="K188" s="510"/>
      <c r="L188" s="510"/>
      <c r="M188" s="510"/>
      <c r="N188" s="20"/>
      <c r="O188" s="20"/>
      <c r="P188" s="20"/>
      <c r="Q188" s="20"/>
      <c r="R188" s="18"/>
    </row>
    <row r="189" spans="1:19" ht="56.25" customHeight="1" thickTop="1">
      <c r="A189" s="304" t="s">
        <v>39</v>
      </c>
      <c r="B189" s="304" t="s">
        <v>40</v>
      </c>
      <c r="C189" s="304" t="s">
        <v>41</v>
      </c>
      <c r="D189" s="538" t="s">
        <v>42</v>
      </c>
      <c r="E189" s="538"/>
      <c r="F189" s="538"/>
      <c r="G189" s="304" t="s">
        <v>43</v>
      </c>
      <c r="H189" s="180" t="s">
        <v>44</v>
      </c>
      <c r="I189" s="57"/>
      <c r="J189" s="510"/>
      <c r="K189" s="510"/>
      <c r="L189" s="510"/>
      <c r="M189" s="510"/>
      <c r="N189" s="20"/>
      <c r="O189" s="20"/>
      <c r="P189" s="20"/>
      <c r="Q189" s="20"/>
      <c r="R189" s="18"/>
    </row>
    <row r="190" spans="1:19" ht="14.1" customHeight="1">
      <c r="A190" s="42" t="s">
        <v>250</v>
      </c>
      <c r="B190" s="189"/>
      <c r="C190" s="191" t="s">
        <v>47</v>
      </c>
      <c r="D190" s="332">
        <f>SUM(C193)</f>
        <v>0</v>
      </c>
      <c r="E190" s="189"/>
      <c r="F190" s="125"/>
      <c r="G190" s="190" t="s">
        <v>17</v>
      </c>
      <c r="H190" s="206">
        <v>2</v>
      </c>
      <c r="I190" s="57"/>
      <c r="J190" s="134" t="s">
        <v>251</v>
      </c>
      <c r="K190" s="510"/>
      <c r="L190" s="510"/>
      <c r="M190" s="510"/>
      <c r="N190" s="20"/>
      <c r="O190" s="20"/>
      <c r="P190" s="20"/>
      <c r="Q190" s="20"/>
      <c r="R190" s="18"/>
    </row>
    <row r="191" spans="1:19" ht="14.1" customHeight="1">
      <c r="A191" s="334" t="s">
        <v>252</v>
      </c>
      <c r="B191" s="334" t="s">
        <v>253</v>
      </c>
      <c r="C191" s="213"/>
      <c r="D191" s="130"/>
      <c r="E191" s="93"/>
      <c r="F191" s="94"/>
      <c r="G191" s="50"/>
      <c r="H191" s="179"/>
      <c r="I191" s="57"/>
      <c r="J191" s="61"/>
      <c r="K191" s="510"/>
      <c r="L191" s="23"/>
      <c r="M191" s="510"/>
      <c r="N191" s="20"/>
      <c r="O191" s="20"/>
      <c r="P191" s="20"/>
      <c r="Q191" s="20"/>
      <c r="R191" s="18"/>
    </row>
    <row r="192" spans="1:19" ht="14.1" customHeight="1">
      <c r="A192" s="264"/>
      <c r="B192" s="334" t="s">
        <v>254</v>
      </c>
      <c r="C192" s="13"/>
      <c r="D192" s="130"/>
      <c r="E192" s="93"/>
      <c r="F192" s="94"/>
      <c r="G192" s="50"/>
      <c r="H192" s="179"/>
      <c r="I192" s="57"/>
      <c r="J192" s="510"/>
      <c r="K192" s="510"/>
      <c r="L192" s="510"/>
      <c r="M192" s="510"/>
      <c r="N192" s="20"/>
      <c r="O192" s="20"/>
      <c r="P192" s="20"/>
      <c r="Q192" s="20"/>
      <c r="R192" s="18"/>
    </row>
    <row r="193" spans="1:19" ht="14.1" customHeight="1">
      <c r="A193" s="265"/>
      <c r="B193" s="257" t="s">
        <v>255</v>
      </c>
      <c r="C193" s="258" t="str">
        <f>IF(OR(ISBLANK(C191),(ISBLANK(C192))),"",IF(C192&gt;=C191,H190,"0"))</f>
        <v/>
      </c>
      <c r="D193" s="262"/>
      <c r="E193" s="93"/>
      <c r="F193" s="94"/>
      <c r="G193" s="50"/>
      <c r="H193" s="179"/>
      <c r="I193" s="57"/>
      <c r="J193" s="134" t="s">
        <v>256</v>
      </c>
      <c r="K193" s="510"/>
      <c r="L193" s="510"/>
      <c r="M193" s="510"/>
      <c r="N193" s="20"/>
      <c r="O193" s="20"/>
      <c r="P193" s="20"/>
      <c r="Q193" s="20"/>
      <c r="R193" s="18"/>
    </row>
    <row r="194" spans="1:19" s="18" customFormat="1" ht="14.1" customHeight="1">
      <c r="A194" s="222"/>
      <c r="B194" s="259"/>
      <c r="C194" s="260"/>
      <c r="D194" s="261"/>
      <c r="E194" s="93"/>
      <c r="F194" s="94"/>
      <c r="G194" s="50"/>
      <c r="H194" s="179"/>
      <c r="I194" s="57"/>
      <c r="J194" s="510"/>
      <c r="K194" s="510"/>
      <c r="L194" s="510"/>
      <c r="M194" s="510"/>
      <c r="N194" s="20"/>
      <c r="O194" s="20"/>
      <c r="P194" s="20"/>
      <c r="Q194" s="20"/>
      <c r="S194" s="301"/>
    </row>
    <row r="195" spans="1:19" ht="56.25" customHeight="1">
      <c r="A195" s="277" t="s">
        <v>257</v>
      </c>
      <c r="B195" s="189" t="s">
        <v>258</v>
      </c>
      <c r="C195" s="191" t="s">
        <v>47</v>
      </c>
      <c r="D195" s="503">
        <f>SUM(G196:G201)</f>
        <v>0</v>
      </c>
      <c r="E195" s="189"/>
      <c r="F195" s="125"/>
      <c r="G195" s="190" t="s">
        <v>17</v>
      </c>
      <c r="H195" s="206">
        <v>5</v>
      </c>
      <c r="I195" s="57"/>
      <c r="J195" s="510" t="s">
        <v>259</v>
      </c>
      <c r="K195" s="510"/>
      <c r="L195" s="510"/>
      <c r="M195" s="510"/>
      <c r="N195" s="20"/>
      <c r="O195" s="20"/>
      <c r="P195" s="20"/>
      <c r="Q195" s="20"/>
      <c r="R195" s="18"/>
    </row>
    <row r="196" spans="1:19" ht="20.25" customHeight="1">
      <c r="A196" s="334" t="s">
        <v>260</v>
      </c>
      <c r="B196" s="334" t="s">
        <v>261</v>
      </c>
      <c r="C196" s="163"/>
      <c r="D196" s="459" t="s">
        <v>262</v>
      </c>
      <c r="E196" s="460" t="s">
        <v>54</v>
      </c>
      <c r="F196" s="461">
        <v>0</v>
      </c>
      <c r="G196" s="141" t="str">
        <f>IF(C198=0,H196,"")</f>
        <v/>
      </c>
      <c r="H196" s="245">
        <v>0</v>
      </c>
      <c r="I196" s="57"/>
      <c r="J196" s="216">
        <v>1</v>
      </c>
      <c r="K196" s="134" t="s">
        <v>263</v>
      </c>
      <c r="L196" s="510"/>
      <c r="M196" s="510"/>
      <c r="N196" s="20"/>
      <c r="O196" s="20"/>
      <c r="P196" s="20"/>
      <c r="Q196" s="20"/>
      <c r="R196" s="18"/>
    </row>
    <row r="197" spans="1:19" ht="33" customHeight="1">
      <c r="A197" s="334" t="s">
        <v>264</v>
      </c>
      <c r="B197" s="495" t="s">
        <v>265</v>
      </c>
      <c r="C197" s="163"/>
      <c r="D197" s="459">
        <f>F196</f>
        <v>0</v>
      </c>
      <c r="E197" s="460" t="s">
        <v>89</v>
      </c>
      <c r="F197" s="461">
        <f>D197+J197</f>
        <v>0.2</v>
      </c>
      <c r="G197" s="141" t="str">
        <f>IF(AND(F197&gt;$C$198,D197&lt;C198),H197,"")</f>
        <v/>
      </c>
      <c r="H197" s="245">
        <f>H196+$J$199</f>
        <v>1</v>
      </c>
      <c r="I197" s="57"/>
      <c r="J197" s="216">
        <f>J196/5</f>
        <v>0.2</v>
      </c>
      <c r="K197" s="134" t="s">
        <v>266</v>
      </c>
      <c r="L197" s="510"/>
      <c r="M197" s="510"/>
      <c r="N197" s="20"/>
      <c r="O197" s="20"/>
      <c r="P197" s="20"/>
      <c r="Q197" s="20"/>
      <c r="R197" s="18"/>
    </row>
    <row r="198" spans="1:19" ht="25.5" customHeight="1">
      <c r="A198" s="334" t="s">
        <v>267</v>
      </c>
      <c r="B198" s="194" t="s">
        <v>268</v>
      </c>
      <c r="C198" s="210" t="str">
        <f>IF(OR(ISBLANK(C196),ISBLANK(C197)),"",C196/C197)</f>
        <v/>
      </c>
      <c r="D198" s="459">
        <f>F197</f>
        <v>0.2</v>
      </c>
      <c r="E198" s="460" t="s">
        <v>57</v>
      </c>
      <c r="F198" s="461">
        <f>D198+J197</f>
        <v>0.4</v>
      </c>
      <c r="G198" s="141" t="str">
        <f>IF(OR(D198=$C$198,AND(D198&lt;$C$198, F198&gt;$C$198)),H198,"")</f>
        <v/>
      </c>
      <c r="H198" s="245">
        <f t="shared" ref="H198:H201" si="19">H197+$J$199</f>
        <v>2</v>
      </c>
      <c r="I198" s="57"/>
      <c r="J198" s="217">
        <f>H195</f>
        <v>5</v>
      </c>
      <c r="K198" s="510" t="s">
        <v>64</v>
      </c>
      <c r="L198" s="510"/>
      <c r="M198" s="510"/>
      <c r="N198" s="20"/>
      <c r="O198" s="20"/>
      <c r="P198" s="20"/>
      <c r="Q198" s="20"/>
      <c r="R198" s="18"/>
    </row>
    <row r="199" spans="1:19" ht="25.5" customHeight="1">
      <c r="A199" s="83"/>
      <c r="B199" s="195"/>
      <c r="C199" s="214"/>
      <c r="D199" s="459">
        <f>F198</f>
        <v>0.4</v>
      </c>
      <c r="E199" s="460" t="s">
        <v>57</v>
      </c>
      <c r="F199" s="461">
        <f>D199+J197</f>
        <v>0.60000000000000009</v>
      </c>
      <c r="G199" s="141" t="str">
        <f t="shared" ref="G199:G200" si="20">IF(OR(D199=$C$198,AND(D199&lt;$C$198, F199&gt;$C$198)),H199,"")</f>
        <v/>
      </c>
      <c r="H199" s="245">
        <f t="shared" si="19"/>
        <v>3</v>
      </c>
      <c r="I199" s="57"/>
      <c r="J199" s="510">
        <f>J198/5</f>
        <v>1</v>
      </c>
      <c r="K199" s="510" t="s">
        <v>67</v>
      </c>
      <c r="L199" s="510"/>
      <c r="M199" s="510"/>
      <c r="N199" s="20"/>
      <c r="O199" s="20"/>
      <c r="P199" s="20"/>
      <c r="Q199" s="20"/>
      <c r="R199" s="18"/>
    </row>
    <row r="200" spans="1:19" ht="25.5" customHeight="1">
      <c r="A200" s="83"/>
      <c r="B200" s="195"/>
      <c r="C200" s="193"/>
      <c r="D200" s="459">
        <f t="shared" ref="D200:D201" si="21">F199</f>
        <v>0.60000000000000009</v>
      </c>
      <c r="E200" s="460" t="s">
        <v>57</v>
      </c>
      <c r="F200" s="461">
        <f>D200+J197</f>
        <v>0.8</v>
      </c>
      <c r="G200" s="141" t="str">
        <f t="shared" si="20"/>
        <v/>
      </c>
      <c r="H200" s="245">
        <f t="shared" si="19"/>
        <v>4</v>
      </c>
      <c r="I200" s="57"/>
      <c r="J200" s="61"/>
      <c r="K200" s="510"/>
      <c r="L200" s="23"/>
      <c r="M200" s="510"/>
      <c r="N200" s="20"/>
      <c r="O200" s="20"/>
      <c r="P200" s="20"/>
      <c r="Q200" s="20"/>
      <c r="R200" s="18"/>
    </row>
    <row r="201" spans="1:19" ht="25.5" customHeight="1">
      <c r="A201" s="83"/>
      <c r="B201" s="195"/>
      <c r="C201" s="193"/>
      <c r="D201" s="459">
        <f t="shared" si="21"/>
        <v>0.8</v>
      </c>
      <c r="E201" s="460" t="s">
        <v>57</v>
      </c>
      <c r="F201" s="461">
        <f>D201+J197</f>
        <v>1</v>
      </c>
      <c r="G201" s="141" t="str">
        <f>IF(OR(D201=$C$198,AND(D201&lt;$C$198, F201&gt;=$C$198)),H201,"")</f>
        <v/>
      </c>
      <c r="H201" s="245">
        <f t="shared" si="19"/>
        <v>5</v>
      </c>
      <c r="I201" s="57"/>
      <c r="J201" s="510"/>
      <c r="K201" s="510"/>
      <c r="L201" s="510"/>
      <c r="M201" s="510"/>
      <c r="N201" s="20"/>
      <c r="O201" s="20"/>
      <c r="P201" s="20"/>
      <c r="Q201" s="20"/>
      <c r="R201" s="18"/>
    </row>
    <row r="202" spans="1:19" ht="25.5" customHeight="1">
      <c r="A202" s="83"/>
      <c r="B202" s="195"/>
      <c r="C202" s="215"/>
      <c r="D202" s="50"/>
      <c r="E202" s="50"/>
      <c r="F202" s="50"/>
      <c r="G202" s="218"/>
      <c r="H202" s="179"/>
      <c r="I202" s="57"/>
      <c r="J202" s="510"/>
      <c r="K202" s="510"/>
      <c r="L202" s="510"/>
      <c r="M202" s="510"/>
      <c r="N202" s="20"/>
      <c r="O202" s="20"/>
      <c r="P202" s="20"/>
      <c r="Q202" s="20"/>
      <c r="R202" s="18"/>
    </row>
    <row r="203" spans="1:19" s="18" customFormat="1" ht="29.25" customHeight="1">
      <c r="A203" s="42" t="s">
        <v>269</v>
      </c>
      <c r="B203" s="189"/>
      <c r="C203" s="191" t="s">
        <v>47</v>
      </c>
      <c r="D203" s="503">
        <f>SUM(G204:G209)</f>
        <v>0</v>
      </c>
      <c r="E203" s="189"/>
      <c r="F203" s="125"/>
      <c r="G203" s="190" t="s">
        <v>17</v>
      </c>
      <c r="H203" s="206">
        <v>10</v>
      </c>
      <c r="I203" s="340"/>
      <c r="J203" s="61"/>
      <c r="K203" s="510"/>
      <c r="L203" s="23"/>
      <c r="M203" s="23"/>
      <c r="N203" s="20" t="s">
        <v>2</v>
      </c>
      <c r="O203" s="20"/>
      <c r="P203" s="20"/>
      <c r="Q203" s="20"/>
      <c r="S203" s="301" t="s">
        <v>270</v>
      </c>
    </row>
    <row r="204" spans="1:19" s="18" customFormat="1" ht="29.25" customHeight="1">
      <c r="A204" s="495" t="s">
        <v>271</v>
      </c>
      <c r="B204" s="341" t="s">
        <v>272</v>
      </c>
      <c r="C204" s="485" t="str">
        <f>H7</f>
        <v xml:space="preserve"> </v>
      </c>
      <c r="D204" s="459">
        <v>0</v>
      </c>
      <c r="E204" s="460" t="s">
        <v>89</v>
      </c>
      <c r="F204" s="461">
        <f>J205</f>
        <v>0.5</v>
      </c>
      <c r="G204" s="281" t="str">
        <f>IF(F204&gt;$C$206,H204,"")</f>
        <v/>
      </c>
      <c r="H204" s="245">
        <v>0</v>
      </c>
      <c r="I204" s="57"/>
      <c r="J204" s="27">
        <v>1</v>
      </c>
      <c r="K204" s="510" t="s">
        <v>241</v>
      </c>
      <c r="L204" s="23"/>
      <c r="M204" s="23"/>
      <c r="N204" s="20"/>
      <c r="O204" s="20"/>
      <c r="P204" s="20"/>
      <c r="Q204" s="20"/>
      <c r="S204" s="301"/>
    </row>
    <row r="205" spans="1:19" s="18" customFormat="1" ht="29.25" customHeight="1">
      <c r="A205" s="495" t="s">
        <v>273</v>
      </c>
      <c r="B205" s="341" t="s">
        <v>274</v>
      </c>
      <c r="C205" s="196"/>
      <c r="D205" s="459">
        <f>F204</f>
        <v>0.5</v>
      </c>
      <c r="E205" s="460" t="s">
        <v>57</v>
      </c>
      <c r="F205" s="461">
        <f>D205+$J$206</f>
        <v>0.6</v>
      </c>
      <c r="G205" s="281" t="str">
        <f>IF(OR(D205=$C$206,AND(D205&lt;$C$206, F205&gt;$C$206)),H205,"")</f>
        <v/>
      </c>
      <c r="H205" s="245">
        <f>H204+J$208</f>
        <v>2</v>
      </c>
      <c r="I205" s="57"/>
      <c r="J205" s="28">
        <f>0.5*J204</f>
        <v>0.5</v>
      </c>
      <c r="K205" s="510" t="s">
        <v>83</v>
      </c>
      <c r="L205" s="23"/>
      <c r="M205" s="23"/>
      <c r="N205" s="20"/>
      <c r="O205" s="20"/>
      <c r="P205" s="20"/>
      <c r="Q205" s="20"/>
      <c r="S205" s="301"/>
    </row>
    <row r="206" spans="1:19" s="18" customFormat="1" ht="29.25" customHeight="1">
      <c r="A206" s="495" t="s">
        <v>275</v>
      </c>
      <c r="B206" s="194" t="s">
        <v>100</v>
      </c>
      <c r="C206" s="221" t="str">
        <f>IF(OR(ISBLANK(C204),ISBLANK(C205)),"",C205/C204)</f>
        <v/>
      </c>
      <c r="D206" s="459">
        <f t="shared" ref="D206:D209" si="22">F205</f>
        <v>0.6</v>
      </c>
      <c r="E206" s="460" t="s">
        <v>57</v>
      </c>
      <c r="F206" s="461">
        <f>D206+$J$206</f>
        <v>0.7</v>
      </c>
      <c r="G206" s="281" t="str">
        <f>IF(OR(D206=$C$206,AND(D206&lt;$C$206, F206&gt;$C$206)),H206,"")</f>
        <v/>
      </c>
      <c r="H206" s="245">
        <f t="shared" ref="H206:H209" si="23">H205+J$208</f>
        <v>4</v>
      </c>
      <c r="I206" s="57"/>
      <c r="J206" s="28">
        <f>(1-J205)/5</f>
        <v>0.1</v>
      </c>
      <c r="K206" s="510" t="s">
        <v>84</v>
      </c>
      <c r="L206" s="23"/>
      <c r="M206" s="23"/>
      <c r="N206" s="20"/>
      <c r="O206" s="20"/>
      <c r="P206" s="20"/>
      <c r="Q206" s="20"/>
      <c r="S206" s="301"/>
    </row>
    <row r="207" spans="1:19" s="18" customFormat="1" ht="30.75" customHeight="1">
      <c r="A207" s="511" t="s">
        <v>276</v>
      </c>
      <c r="B207" s="511"/>
      <c r="C207" s="193"/>
      <c r="D207" s="459">
        <f t="shared" si="22"/>
        <v>0.7</v>
      </c>
      <c r="E207" s="460" t="s">
        <v>57</v>
      </c>
      <c r="F207" s="461">
        <f>D207+$J$206</f>
        <v>0.79999999999999993</v>
      </c>
      <c r="G207" s="281" t="str">
        <f>IF(OR(D207=$C$206,AND(D207&lt;$C$206, F207&gt;$C$206)),H207,"")</f>
        <v/>
      </c>
      <c r="H207" s="245">
        <f t="shared" si="23"/>
        <v>6</v>
      </c>
      <c r="I207" s="57"/>
      <c r="J207" s="24">
        <f>H203</f>
        <v>10</v>
      </c>
      <c r="K207" s="510" t="s">
        <v>64</v>
      </c>
      <c r="L207" s="23"/>
      <c r="M207" s="23"/>
      <c r="N207" s="20"/>
      <c r="O207" s="20"/>
      <c r="P207" s="20"/>
      <c r="Q207" s="20"/>
      <c r="S207" s="301"/>
    </row>
    <row r="208" spans="1:19" s="18" customFormat="1" ht="18" customHeight="1">
      <c r="A208" s="192"/>
      <c r="B208" s="195"/>
      <c r="C208" s="193"/>
      <c r="D208" s="459">
        <f t="shared" si="22"/>
        <v>0.79999999999999993</v>
      </c>
      <c r="E208" s="460" t="s">
        <v>57</v>
      </c>
      <c r="F208" s="461">
        <f>D208+$J$206</f>
        <v>0.89999999999999991</v>
      </c>
      <c r="G208" s="281" t="str">
        <f>IF(OR(D208=$C$206,AND(D208&lt;$C$206, F208&gt;$C$206)),H208,"")</f>
        <v/>
      </c>
      <c r="H208" s="245">
        <f t="shared" si="23"/>
        <v>8</v>
      </c>
      <c r="I208" s="57"/>
      <c r="J208" s="24">
        <f>J207/5</f>
        <v>2</v>
      </c>
      <c r="K208" s="510" t="s">
        <v>67</v>
      </c>
      <c r="L208" s="23"/>
      <c r="M208" s="23"/>
      <c r="N208" s="20"/>
      <c r="O208" s="20"/>
      <c r="P208" s="20"/>
      <c r="Q208" s="20"/>
      <c r="S208" s="301"/>
    </row>
    <row r="209" spans="1:22" s="18" customFormat="1" ht="14.25" customHeight="1">
      <c r="A209" s="192"/>
      <c r="B209" s="195"/>
      <c r="C209" s="193"/>
      <c r="D209" s="459">
        <f t="shared" si="22"/>
        <v>0.89999999999999991</v>
      </c>
      <c r="E209" s="460" t="s">
        <v>54</v>
      </c>
      <c r="F209" s="461" t="s">
        <v>277</v>
      </c>
      <c r="G209" s="281" t="str">
        <f>IF(C206="","",IF(OR(D209=$C$206,D209&lt;$C$206),H209,""))</f>
        <v/>
      </c>
      <c r="H209" s="245">
        <f t="shared" si="23"/>
        <v>10</v>
      </c>
      <c r="I209" s="57"/>
      <c r="J209" s="25"/>
      <c r="K209" s="510"/>
      <c r="L209" s="23"/>
      <c r="M209" s="23"/>
      <c r="N209" s="20"/>
      <c r="O209" s="20"/>
      <c r="P209" s="20"/>
      <c r="Q209" s="20"/>
      <c r="S209" s="301"/>
    </row>
    <row r="210" spans="1:22" s="18" customFormat="1" ht="14.1" customHeight="1">
      <c r="A210" s="219"/>
      <c r="B210" s="222"/>
      <c r="C210" s="215"/>
      <c r="D210" s="130"/>
      <c r="E210" s="93"/>
      <c r="F210" s="94"/>
      <c r="G210" s="50"/>
      <c r="H210" s="179"/>
      <c r="I210" s="57"/>
      <c r="J210" s="510"/>
      <c r="K210" s="510"/>
      <c r="L210" s="510"/>
      <c r="M210" s="510"/>
      <c r="N210" s="20"/>
      <c r="O210" s="20"/>
      <c r="P210" s="20"/>
      <c r="Q210" s="20"/>
      <c r="S210" s="301"/>
    </row>
    <row r="211" spans="1:22" ht="31.5" customHeight="1">
      <c r="A211" s="42" t="s">
        <v>278</v>
      </c>
      <c r="B211" s="189"/>
      <c r="C211" s="191" t="s">
        <v>47</v>
      </c>
      <c r="D211" s="503">
        <f>SUM(G212:G218)</f>
        <v>0</v>
      </c>
      <c r="E211" s="189"/>
      <c r="F211" s="125"/>
      <c r="G211" s="190" t="s">
        <v>17</v>
      </c>
      <c r="H211" s="206">
        <v>5</v>
      </c>
      <c r="I211" s="57"/>
      <c r="J211" s="61"/>
      <c r="K211" s="510"/>
      <c r="L211" s="23"/>
      <c r="M211" s="510"/>
      <c r="N211" s="83" t="s">
        <v>2</v>
      </c>
      <c r="O211" s="20"/>
      <c r="P211" s="20"/>
      <c r="Q211" s="20"/>
      <c r="R211" s="18"/>
      <c r="S211" s="291" t="s">
        <v>279</v>
      </c>
    </row>
    <row r="212" spans="1:22" ht="30" customHeight="1">
      <c r="A212" s="495" t="s">
        <v>280</v>
      </c>
      <c r="B212" s="495" t="s">
        <v>281</v>
      </c>
      <c r="C212" s="223"/>
      <c r="D212" s="459">
        <v>0</v>
      </c>
      <c r="E212" s="460" t="s">
        <v>89</v>
      </c>
      <c r="F212" s="461">
        <f>J215</f>
        <v>0.1</v>
      </c>
      <c r="G212" s="281" t="str">
        <f>IF(F212&gt;$C$216,H212,"")</f>
        <v/>
      </c>
      <c r="H212" s="245">
        <f>H213+$J$217</f>
        <v>5</v>
      </c>
      <c r="I212" s="57"/>
      <c r="J212" s="134" t="s">
        <v>282</v>
      </c>
      <c r="K212" s="510"/>
      <c r="L212" s="510"/>
      <c r="M212" s="510"/>
      <c r="N212" s="83" t="s">
        <v>2</v>
      </c>
      <c r="O212" s="20"/>
      <c r="P212" s="20"/>
      <c r="Q212" s="20"/>
      <c r="R212" s="18"/>
    </row>
    <row r="213" spans="1:22" ht="30" customHeight="1">
      <c r="A213" s="495" t="s">
        <v>283</v>
      </c>
      <c r="B213" s="495" t="s">
        <v>284</v>
      </c>
      <c r="C213" s="223"/>
      <c r="D213" s="459">
        <f>F212</f>
        <v>0.1</v>
      </c>
      <c r="E213" s="460" t="s">
        <v>57</v>
      </c>
      <c r="F213" s="461">
        <f>D213+J215</f>
        <v>0.2</v>
      </c>
      <c r="G213" s="281" t="str">
        <f>IF(OR(D213=$C$216,AND(D213&lt;$C$216, F213&gt;$C$216)),H213,"")</f>
        <v/>
      </c>
      <c r="H213" s="245">
        <f>H215+$J$217</f>
        <v>4</v>
      </c>
      <c r="I213" s="57"/>
      <c r="J213" s="27">
        <v>0.5</v>
      </c>
      <c r="K213" s="134" t="s">
        <v>285</v>
      </c>
      <c r="L213" s="134" t="s">
        <v>286</v>
      </c>
      <c r="M213" s="510"/>
      <c r="N213" s="20"/>
      <c r="O213" s="20"/>
      <c r="P213" s="20"/>
      <c r="Q213" s="20"/>
      <c r="R213" s="18"/>
    </row>
    <row r="214" spans="1:22" ht="30" customHeight="1">
      <c r="A214" s="495" t="s">
        <v>287</v>
      </c>
      <c r="B214" s="236" t="s">
        <v>288</v>
      </c>
      <c r="C214" s="279" t="str">
        <f>IF(OR(ISBLANK(C212),ISBLANK(C213)),"",SUM(C212:C213))</f>
        <v/>
      </c>
      <c r="D214" s="459"/>
      <c r="E214" s="460"/>
      <c r="F214" s="461"/>
      <c r="G214" s="281"/>
      <c r="H214" s="245"/>
      <c r="I214" s="57"/>
      <c r="J214" s="27"/>
      <c r="K214" s="134"/>
      <c r="L214" s="134"/>
      <c r="M214" s="510"/>
      <c r="N214" s="20"/>
      <c r="O214" s="20"/>
      <c r="P214" s="20"/>
      <c r="Q214" s="20"/>
      <c r="R214" s="18"/>
    </row>
    <row r="215" spans="1:22" ht="14.1" customHeight="1">
      <c r="A215" s="495" t="s">
        <v>289</v>
      </c>
      <c r="B215" s="334" t="s">
        <v>290</v>
      </c>
      <c r="C215" s="223"/>
      <c r="D215" s="459">
        <f>F213</f>
        <v>0.2</v>
      </c>
      <c r="E215" s="460" t="s">
        <v>57</v>
      </c>
      <c r="F215" s="461">
        <f>D215+J215</f>
        <v>0.30000000000000004</v>
      </c>
      <c r="G215" s="281" t="str">
        <f t="shared" ref="G215:G217" si="24">IF(OR(D215=$C$216,AND(D215&lt;$C$216, F215&gt;$C$216)),H215,"")</f>
        <v/>
      </c>
      <c r="H215" s="245">
        <f>H216+$J$217</f>
        <v>3</v>
      </c>
      <c r="I215" s="57"/>
      <c r="J215" s="28">
        <f>J213/5</f>
        <v>0.1</v>
      </c>
      <c r="K215" s="134" t="s">
        <v>291</v>
      </c>
      <c r="L215" s="134"/>
      <c r="M215" s="510"/>
      <c r="N215" s="20"/>
      <c r="O215" s="20"/>
      <c r="P215" s="20"/>
      <c r="Q215" s="20"/>
      <c r="R215" s="18"/>
    </row>
    <row r="216" spans="1:22" ht="14.1" customHeight="1">
      <c r="A216" s="495" t="s">
        <v>292</v>
      </c>
      <c r="B216" s="194" t="s">
        <v>293</v>
      </c>
      <c r="C216" s="221" t="str">
        <f>IF(ISBLANK(C215),"",C214/C215)</f>
        <v/>
      </c>
      <c r="D216" s="459">
        <f t="shared" ref="D216:D218" si="25">F215</f>
        <v>0.30000000000000004</v>
      </c>
      <c r="E216" s="460" t="s">
        <v>57</v>
      </c>
      <c r="F216" s="461">
        <f>D216+J215</f>
        <v>0.4</v>
      </c>
      <c r="G216" s="281" t="str">
        <f t="shared" si="24"/>
        <v/>
      </c>
      <c r="H216" s="245">
        <f>H217+$J$217</f>
        <v>2</v>
      </c>
      <c r="I216" s="57"/>
      <c r="J216" s="24">
        <f>H211</f>
        <v>5</v>
      </c>
      <c r="K216" s="134" t="s">
        <v>294</v>
      </c>
      <c r="L216" s="510"/>
      <c r="M216" s="510"/>
      <c r="N216" s="20"/>
      <c r="O216" s="20"/>
      <c r="P216" s="20"/>
      <c r="Q216" s="20"/>
      <c r="R216" s="18"/>
    </row>
    <row r="217" spans="1:22" ht="14.1" customHeight="1">
      <c r="A217" s="142"/>
      <c r="B217" s="162"/>
      <c r="C217" s="59"/>
      <c r="D217" s="459">
        <f t="shared" si="25"/>
        <v>0.4</v>
      </c>
      <c r="E217" s="460" t="s">
        <v>57</v>
      </c>
      <c r="F217" s="461">
        <f>D217+J215</f>
        <v>0.5</v>
      </c>
      <c r="G217" s="281" t="str">
        <f t="shared" si="24"/>
        <v/>
      </c>
      <c r="H217" s="245">
        <f>H218+$J$217</f>
        <v>1</v>
      </c>
      <c r="I217" s="57"/>
      <c r="J217" s="24">
        <f>J216/5</f>
        <v>1</v>
      </c>
      <c r="K217" s="134" t="s">
        <v>295</v>
      </c>
      <c r="L217" s="510"/>
      <c r="M217" s="510"/>
      <c r="N217" s="20"/>
      <c r="O217" s="20"/>
      <c r="P217" s="20"/>
      <c r="Q217" s="20"/>
      <c r="R217" s="18"/>
    </row>
    <row r="218" spans="1:22" ht="14.1" customHeight="1">
      <c r="A218" s="70"/>
      <c r="B218" s="18"/>
      <c r="C218" s="59"/>
      <c r="D218" s="459">
        <f t="shared" si="25"/>
        <v>0.5</v>
      </c>
      <c r="E218" s="460"/>
      <c r="F218" s="461" t="s">
        <v>91</v>
      </c>
      <c r="G218" s="281" t="str">
        <f>IF(C216="","",IF(OR(D218=$C$216,D218&lt;$C$216),H218,""))</f>
        <v/>
      </c>
      <c r="H218" s="245">
        <v>0</v>
      </c>
      <c r="I218" s="57"/>
      <c r="J218" s="57"/>
      <c r="K218" s="57"/>
      <c r="L218" s="57"/>
      <c r="M218" s="57"/>
      <c r="N218" s="57"/>
      <c r="O218" s="20"/>
      <c r="P218" s="20"/>
      <c r="Q218" s="20"/>
      <c r="R218" s="18"/>
    </row>
    <row r="219" spans="1:22" s="7" customFormat="1" ht="19.5" customHeight="1" thickBot="1">
      <c r="A219" s="168"/>
      <c r="B219" s="168"/>
      <c r="C219" s="168"/>
      <c r="D219" s="83"/>
      <c r="E219" s="20"/>
      <c r="F219" s="83"/>
      <c r="G219" s="20"/>
      <c r="H219" s="181"/>
      <c r="I219" s="29"/>
      <c r="J219" s="225"/>
      <c r="K219" s="29"/>
      <c r="L219" s="29"/>
      <c r="M219" s="21"/>
      <c r="N219" s="21"/>
      <c r="O219" s="21"/>
      <c r="P219" s="18"/>
      <c r="Q219" s="18"/>
      <c r="R219" s="18"/>
      <c r="S219" s="292"/>
    </row>
    <row r="220" spans="1:22" ht="32.25" customHeight="1" thickTop="1" thickBot="1">
      <c r="A220" s="133" t="s">
        <v>296</v>
      </c>
      <c r="B220" s="80"/>
      <c r="C220" s="79" t="s">
        <v>37</v>
      </c>
      <c r="D220" s="535">
        <f>SUM(D222,D254,D263,D268)</f>
        <v>0</v>
      </c>
      <c r="E220" s="536"/>
      <c r="F220" s="537"/>
      <c r="G220" s="75" t="s">
        <v>17</v>
      </c>
      <c r="H220" s="240">
        <f>H222+H254+H263+H268</f>
        <v>25</v>
      </c>
      <c r="I220" s="55"/>
      <c r="J220" s="70"/>
      <c r="K220" s="18"/>
      <c r="L220" s="18"/>
      <c r="M220" s="18"/>
      <c r="O220" s="18"/>
      <c r="P220" s="18"/>
      <c r="Q220" s="18"/>
      <c r="R220" s="18"/>
      <c r="S220" s="292"/>
      <c r="T220" s="7"/>
      <c r="U220" s="7"/>
      <c r="V220" s="7"/>
    </row>
    <row r="221" spans="1:22" ht="9" customHeight="1" thickTop="1">
      <c r="A221" s="74"/>
      <c r="B221" s="534"/>
      <c r="C221" s="534"/>
      <c r="D221" s="534"/>
      <c r="E221" s="505"/>
      <c r="F221" s="505"/>
      <c r="G221" s="102"/>
      <c r="H221" s="177"/>
      <c r="I221" s="60"/>
      <c r="J221" s="18"/>
      <c r="K221" s="18"/>
      <c r="L221" s="18"/>
      <c r="M221" s="18"/>
      <c r="O221" s="18"/>
      <c r="P221" s="18"/>
      <c r="Q221" s="18"/>
      <c r="R221" s="18"/>
    </row>
    <row r="222" spans="1:22" s="7" customFormat="1" ht="27.95" customHeight="1">
      <c r="A222" s="42" t="s">
        <v>297</v>
      </c>
      <c r="B222" s="189"/>
      <c r="C222" s="191" t="s">
        <v>47</v>
      </c>
      <c r="D222" s="503">
        <f>SUM(G250:G252)</f>
        <v>0</v>
      </c>
      <c r="E222" s="189"/>
      <c r="F222" s="125"/>
      <c r="G222" s="190" t="s">
        <v>17</v>
      </c>
      <c r="H222" s="206">
        <v>5</v>
      </c>
      <c r="I222" s="193"/>
      <c r="J222" s="83"/>
      <c r="K222" s="20"/>
      <c r="L222" s="20"/>
      <c r="M222" s="20"/>
      <c r="N222" s="20"/>
      <c r="O222" s="20"/>
      <c r="P222" s="20"/>
      <c r="Q222" s="20"/>
      <c r="R222" s="18"/>
      <c r="S222" s="292"/>
    </row>
    <row r="223" spans="1:22" ht="25.5">
      <c r="A223" s="120"/>
      <c r="B223" s="111" t="s">
        <v>298</v>
      </c>
      <c r="C223" s="121" t="s">
        <v>299</v>
      </c>
      <c r="D223" s="598" t="s">
        <v>300</v>
      </c>
      <c r="E223" s="599"/>
      <c r="F223" s="600"/>
      <c r="G223" s="56"/>
      <c r="H223" s="176"/>
      <c r="I223" s="143"/>
      <c r="K223" s="520"/>
      <c r="L223" s="520"/>
      <c r="M223" s="520"/>
      <c r="N223" s="520"/>
      <c r="O223" s="520"/>
      <c r="P223" s="30"/>
      <c r="Q223" s="20"/>
      <c r="R223" s="20"/>
      <c r="S223" s="302"/>
      <c r="T223" s="6"/>
      <c r="U223" s="6"/>
      <c r="V223" s="6"/>
    </row>
    <row r="224" spans="1:22" s="7" customFormat="1" ht="12" customHeight="1">
      <c r="A224" s="112"/>
      <c r="B224" s="116" t="s">
        <v>301</v>
      </c>
      <c r="C224" s="107">
        <v>0</v>
      </c>
      <c r="D224" s="522">
        <v>0</v>
      </c>
      <c r="E224" s="523"/>
      <c r="F224" s="524"/>
      <c r="G224" s="58"/>
      <c r="H224" s="175"/>
      <c r="I224" s="144"/>
      <c r="J224" s="227" t="s">
        <v>302</v>
      </c>
      <c r="K224" s="229"/>
      <c r="L224" s="229"/>
      <c r="M224" s="229"/>
      <c r="N224" s="229"/>
      <c r="O224" s="229"/>
      <c r="P224" s="31"/>
      <c r="Q224" s="20"/>
      <c r="R224" s="20"/>
      <c r="S224" s="302"/>
      <c r="T224" s="6"/>
      <c r="U224" s="6"/>
      <c r="V224" s="6"/>
    </row>
    <row r="225" spans="1:22" s="7" customFormat="1" ht="12" customHeight="1">
      <c r="A225" s="113"/>
      <c r="B225" s="116" t="s">
        <v>303</v>
      </c>
      <c r="C225" s="108">
        <v>0</v>
      </c>
      <c r="D225" s="522">
        <v>0</v>
      </c>
      <c r="E225" s="523"/>
      <c r="F225" s="524"/>
      <c r="G225" s="96"/>
      <c r="H225" s="175"/>
      <c r="I225" s="144"/>
      <c r="J225" s="228" t="s">
        <v>304</v>
      </c>
      <c r="K225" s="229"/>
      <c r="L225" s="229"/>
      <c r="M225" s="229"/>
      <c r="N225" s="229"/>
      <c r="O225" s="229"/>
      <c r="P225" s="31"/>
      <c r="Q225" s="20"/>
      <c r="R225" s="20"/>
      <c r="S225" s="302"/>
      <c r="T225" s="6"/>
      <c r="U225" s="6"/>
      <c r="V225" s="6"/>
    </row>
    <row r="226" spans="1:22" s="7" customFormat="1" ht="12" customHeight="1">
      <c r="A226" s="113"/>
      <c r="B226" s="116" t="s">
        <v>305</v>
      </c>
      <c r="C226" s="504">
        <v>0</v>
      </c>
      <c r="D226" s="522">
        <v>0</v>
      </c>
      <c r="E226" s="523"/>
      <c r="F226" s="524"/>
      <c r="G226" s="510"/>
      <c r="H226" s="174"/>
      <c r="I226" s="145"/>
      <c r="J226" s="226" t="s">
        <v>306</v>
      </c>
      <c r="K226" s="510"/>
      <c r="L226" s="510"/>
      <c r="M226" s="510"/>
      <c r="N226" s="510"/>
      <c r="O226" s="510"/>
      <c r="P226" s="21"/>
      <c r="Q226" s="20"/>
      <c r="R226" s="20"/>
      <c r="S226" s="302"/>
      <c r="T226" s="6"/>
      <c r="U226" s="6"/>
      <c r="V226" s="6"/>
    </row>
    <row r="227" spans="1:22" s="7" customFormat="1" ht="12" customHeight="1">
      <c r="A227" s="113"/>
      <c r="B227" s="116" t="s">
        <v>307</v>
      </c>
      <c r="C227" s="504">
        <v>0</v>
      </c>
      <c r="D227" s="522">
        <v>0</v>
      </c>
      <c r="E227" s="523"/>
      <c r="F227" s="524"/>
      <c r="G227" s="510"/>
      <c r="H227" s="174"/>
      <c r="I227" s="510"/>
      <c r="J227" s="510"/>
      <c r="K227" s="510"/>
      <c r="L227" s="510"/>
      <c r="M227" s="510"/>
      <c r="N227" s="510"/>
      <c r="O227" s="510"/>
      <c r="P227" s="21"/>
      <c r="Q227" s="20"/>
      <c r="R227" s="20"/>
      <c r="S227" s="302"/>
      <c r="T227" s="6"/>
      <c r="U227" s="6"/>
      <c r="V227" s="6"/>
    </row>
    <row r="228" spans="1:22" s="7" customFormat="1" ht="12" customHeight="1">
      <c r="A228" s="113"/>
      <c r="B228" s="116" t="s">
        <v>308</v>
      </c>
      <c r="C228" s="504">
        <v>0</v>
      </c>
      <c r="D228" s="522">
        <v>0</v>
      </c>
      <c r="E228" s="523"/>
      <c r="F228" s="524"/>
      <c r="G228" s="518"/>
      <c r="H228" s="519"/>
      <c r="I228" s="510"/>
      <c r="J228" s="510" t="s">
        <v>309</v>
      </c>
      <c r="K228" s="510"/>
      <c r="L228" s="510"/>
      <c r="M228" s="510"/>
      <c r="N228" s="510"/>
      <c r="O228" s="510"/>
      <c r="P228" s="21"/>
      <c r="Q228" s="20"/>
      <c r="R228" s="20"/>
      <c r="S228" s="302"/>
      <c r="T228" s="6"/>
      <c r="U228" s="6"/>
      <c r="V228" s="6"/>
    </row>
    <row r="229" spans="1:22" s="7" customFormat="1" ht="12" customHeight="1">
      <c r="A229" s="109"/>
      <c r="B229" s="116" t="s">
        <v>310</v>
      </c>
      <c r="C229" s="504">
        <v>0</v>
      </c>
      <c r="D229" s="522">
        <v>0</v>
      </c>
      <c r="E229" s="523"/>
      <c r="F229" s="524"/>
      <c r="G229" s="518"/>
      <c r="H229" s="519"/>
      <c r="I229" s="510"/>
      <c r="J229" s="510" t="s">
        <v>311</v>
      </c>
      <c r="K229" s="510"/>
      <c r="L229" s="510"/>
      <c r="M229" s="510"/>
      <c r="N229" s="510"/>
      <c r="O229" s="510"/>
      <c r="P229" s="21"/>
      <c r="Q229" s="20"/>
      <c r="R229" s="20"/>
      <c r="S229" s="302"/>
      <c r="T229" s="6"/>
      <c r="U229" s="6"/>
      <c r="V229" s="6"/>
    </row>
    <row r="230" spans="1:22" s="7" customFormat="1" ht="12" customHeight="1">
      <c r="A230" s="109"/>
      <c r="B230" s="116" t="s">
        <v>312</v>
      </c>
      <c r="C230" s="504">
        <v>0</v>
      </c>
      <c r="D230" s="522">
        <v>0</v>
      </c>
      <c r="E230" s="523"/>
      <c r="F230" s="524"/>
      <c r="G230" s="510"/>
      <c r="H230" s="174"/>
      <c r="I230" s="510"/>
      <c r="J230" s="510"/>
      <c r="K230" s="510"/>
      <c r="L230" s="510"/>
      <c r="M230" s="510"/>
      <c r="N230" s="510"/>
      <c r="O230" s="510"/>
      <c r="P230" s="21"/>
      <c r="Q230" s="20"/>
      <c r="R230" s="20"/>
      <c r="S230" s="302"/>
      <c r="T230" s="6"/>
      <c r="U230" s="6"/>
      <c r="V230" s="6"/>
    </row>
    <row r="231" spans="1:22" s="7" customFormat="1" ht="12" customHeight="1">
      <c r="A231" s="113"/>
      <c r="B231" s="116" t="s">
        <v>313</v>
      </c>
      <c r="C231" s="504">
        <v>0</v>
      </c>
      <c r="D231" s="522">
        <v>0</v>
      </c>
      <c r="E231" s="523"/>
      <c r="F231" s="524"/>
      <c r="G231" s="105"/>
      <c r="H231" s="173"/>
      <c r="I231" s="54"/>
      <c r="J231" s="20"/>
      <c r="K231" s="20"/>
      <c r="L231" s="20"/>
      <c r="M231" s="20"/>
      <c r="N231" s="20"/>
      <c r="O231" s="20"/>
      <c r="P231" s="20"/>
      <c r="Q231" s="20"/>
      <c r="R231" s="20"/>
      <c r="S231" s="302"/>
      <c r="T231" s="6"/>
      <c r="U231" s="6"/>
      <c r="V231" s="6"/>
    </row>
    <row r="232" spans="1:22" s="7" customFormat="1" ht="12" customHeight="1">
      <c r="A232" s="113"/>
      <c r="B232" s="116" t="s">
        <v>314</v>
      </c>
      <c r="C232" s="504">
        <v>0</v>
      </c>
      <c r="D232" s="522">
        <v>0</v>
      </c>
      <c r="E232" s="523"/>
      <c r="F232" s="524"/>
      <c r="G232" s="105"/>
      <c r="H232" s="173"/>
      <c r="I232" s="54"/>
      <c r="J232" s="20"/>
      <c r="K232" s="20"/>
      <c r="L232" s="20"/>
      <c r="M232" s="20"/>
      <c r="N232" s="20"/>
      <c r="O232" s="20"/>
      <c r="P232" s="20"/>
      <c r="Q232" s="20"/>
      <c r="R232" s="20"/>
      <c r="S232" s="302"/>
      <c r="T232" s="6"/>
      <c r="U232" s="6"/>
      <c r="V232" s="6"/>
    </row>
    <row r="233" spans="1:22" s="7" customFormat="1" ht="12" customHeight="1">
      <c r="A233" s="113"/>
      <c r="B233" s="116" t="s">
        <v>315</v>
      </c>
      <c r="C233" s="504">
        <v>0</v>
      </c>
      <c r="D233" s="522">
        <v>0</v>
      </c>
      <c r="E233" s="523"/>
      <c r="F233" s="524"/>
      <c r="G233" s="105"/>
      <c r="H233" s="173"/>
      <c r="I233" s="54"/>
      <c r="J233" s="20"/>
      <c r="K233" s="20"/>
      <c r="L233" s="20"/>
      <c r="M233" s="20"/>
      <c r="N233" s="20"/>
      <c r="O233" s="20"/>
      <c r="P233" s="18"/>
      <c r="Q233" s="18"/>
      <c r="R233" s="18"/>
      <c r="S233" s="292"/>
    </row>
    <row r="234" spans="1:22" s="7" customFormat="1" ht="12" customHeight="1">
      <c r="A234" s="113"/>
      <c r="B234" s="116" t="s">
        <v>316</v>
      </c>
      <c r="C234" s="504">
        <v>0</v>
      </c>
      <c r="D234" s="522">
        <v>0</v>
      </c>
      <c r="E234" s="523"/>
      <c r="F234" s="524"/>
      <c r="G234" s="105"/>
      <c r="H234" s="173"/>
      <c r="I234" s="54"/>
      <c r="J234" s="20"/>
      <c r="K234" s="20"/>
      <c r="L234" s="20"/>
      <c r="M234" s="20"/>
      <c r="N234" s="20"/>
      <c r="O234" s="20"/>
      <c r="P234" s="18"/>
      <c r="Q234" s="18"/>
      <c r="R234" s="18"/>
      <c r="S234" s="292"/>
    </row>
    <row r="235" spans="1:22" s="7" customFormat="1" ht="12" customHeight="1">
      <c r="A235" s="113"/>
      <c r="B235" s="116" t="s">
        <v>317</v>
      </c>
      <c r="C235" s="504">
        <v>0</v>
      </c>
      <c r="D235" s="522">
        <v>0</v>
      </c>
      <c r="E235" s="523"/>
      <c r="F235" s="524"/>
      <c r="G235" s="105"/>
      <c r="H235" s="173"/>
      <c r="I235" s="54"/>
      <c r="J235" s="20"/>
      <c r="K235" s="20"/>
      <c r="L235" s="20"/>
      <c r="M235" s="20"/>
      <c r="N235" s="20"/>
      <c r="O235" s="20"/>
      <c r="P235" s="18"/>
      <c r="Q235" s="18"/>
      <c r="R235" s="18"/>
      <c r="S235" s="292"/>
    </row>
    <row r="236" spans="1:22" s="7" customFormat="1" ht="12" customHeight="1">
      <c r="A236" s="113"/>
      <c r="B236" s="117" t="s">
        <v>318</v>
      </c>
      <c r="C236" s="504">
        <v>0</v>
      </c>
      <c r="D236" s="522">
        <v>0</v>
      </c>
      <c r="E236" s="523"/>
      <c r="F236" s="524"/>
      <c r="G236" s="105"/>
      <c r="H236" s="173"/>
      <c r="I236" s="54"/>
      <c r="J236" s="20"/>
      <c r="K236" s="20"/>
      <c r="L236" s="20"/>
      <c r="M236" s="20"/>
      <c r="N236" s="20"/>
      <c r="O236" s="20"/>
      <c r="P236" s="18"/>
      <c r="Q236" s="18"/>
      <c r="R236" s="18"/>
      <c r="S236" s="292"/>
    </row>
    <row r="237" spans="1:22" s="7" customFormat="1" ht="12" customHeight="1">
      <c r="A237" s="113"/>
      <c r="B237" s="117" t="s">
        <v>319</v>
      </c>
      <c r="C237" s="504">
        <v>0</v>
      </c>
      <c r="D237" s="522">
        <v>0</v>
      </c>
      <c r="E237" s="523"/>
      <c r="F237" s="524"/>
      <c r="G237" s="105"/>
      <c r="H237" s="173"/>
      <c r="I237" s="54"/>
      <c r="J237" s="20"/>
      <c r="K237" s="20"/>
      <c r="L237" s="20"/>
      <c r="M237" s="20"/>
      <c r="N237" s="20"/>
      <c r="O237" s="20"/>
      <c r="P237" s="18"/>
      <c r="Q237" s="18"/>
      <c r="R237" s="18"/>
      <c r="S237" s="292"/>
    </row>
    <row r="238" spans="1:22" s="7" customFormat="1" ht="12" customHeight="1">
      <c r="A238" s="113"/>
      <c r="B238" s="117" t="s">
        <v>320</v>
      </c>
      <c r="C238" s="504">
        <v>0</v>
      </c>
      <c r="D238" s="522">
        <v>0</v>
      </c>
      <c r="E238" s="523"/>
      <c r="F238" s="524"/>
      <c r="G238" s="105"/>
      <c r="H238" s="173"/>
      <c r="I238" s="54"/>
      <c r="J238" s="20"/>
      <c r="K238" s="20"/>
      <c r="L238" s="20"/>
      <c r="M238" s="20"/>
      <c r="N238" s="20"/>
      <c r="O238" s="20"/>
      <c r="P238" s="18"/>
      <c r="Q238" s="18"/>
      <c r="R238" s="18"/>
      <c r="S238" s="292"/>
    </row>
    <row r="239" spans="1:22" s="7" customFormat="1" ht="12" customHeight="1">
      <c r="A239" s="113"/>
      <c r="B239" s="117" t="s">
        <v>321</v>
      </c>
      <c r="C239" s="504">
        <v>0</v>
      </c>
      <c r="D239" s="522">
        <v>0</v>
      </c>
      <c r="E239" s="523"/>
      <c r="F239" s="524"/>
      <c r="G239" s="105"/>
      <c r="H239" s="173"/>
      <c r="I239" s="54"/>
      <c r="J239" s="20"/>
      <c r="K239" s="20"/>
      <c r="L239" s="20"/>
      <c r="M239" s="20"/>
      <c r="N239" s="20"/>
      <c r="O239" s="20"/>
      <c r="P239" s="18"/>
      <c r="Q239" s="18"/>
      <c r="R239" s="18"/>
      <c r="S239" s="292"/>
    </row>
    <row r="240" spans="1:22" s="7" customFormat="1" ht="12" customHeight="1">
      <c r="A240" s="113"/>
      <c r="B240" s="117" t="s">
        <v>322</v>
      </c>
      <c r="C240" s="504">
        <v>0</v>
      </c>
      <c r="D240" s="522">
        <v>0</v>
      </c>
      <c r="E240" s="523"/>
      <c r="F240" s="524"/>
      <c r="G240" s="105"/>
      <c r="H240" s="173"/>
      <c r="I240" s="54"/>
      <c r="J240" s="20"/>
      <c r="K240" s="20"/>
      <c r="L240" s="20"/>
      <c r="M240" s="20"/>
      <c r="N240" s="20"/>
      <c r="O240" s="20"/>
      <c r="P240" s="18"/>
      <c r="Q240" s="18"/>
      <c r="R240" s="18"/>
      <c r="S240" s="292"/>
    </row>
    <row r="241" spans="1:22" s="7" customFormat="1" ht="12" customHeight="1">
      <c r="A241" s="113"/>
      <c r="B241" s="117" t="s">
        <v>323</v>
      </c>
      <c r="C241" s="504">
        <v>0</v>
      </c>
      <c r="D241" s="522">
        <v>0</v>
      </c>
      <c r="E241" s="523"/>
      <c r="F241" s="524"/>
      <c r="G241" s="105"/>
      <c r="H241" s="173"/>
      <c r="I241" s="54"/>
      <c r="J241" s="20"/>
      <c r="K241" s="20"/>
      <c r="L241" s="20"/>
      <c r="M241" s="20"/>
      <c r="N241" s="20"/>
      <c r="O241" s="20"/>
      <c r="P241" s="18"/>
      <c r="Q241" s="18"/>
      <c r="R241" s="18"/>
      <c r="S241" s="292"/>
    </row>
    <row r="242" spans="1:22" s="7" customFormat="1" ht="12" customHeight="1">
      <c r="A242" s="113"/>
      <c r="B242" s="117" t="s">
        <v>324</v>
      </c>
      <c r="C242" s="504">
        <v>0</v>
      </c>
      <c r="D242" s="522">
        <v>0</v>
      </c>
      <c r="E242" s="523"/>
      <c r="F242" s="524"/>
      <c r="G242" s="105"/>
      <c r="H242" s="173"/>
      <c r="I242" s="54"/>
      <c r="J242" s="20"/>
      <c r="K242" s="20"/>
      <c r="L242" s="20"/>
      <c r="M242" s="20"/>
      <c r="N242" s="20"/>
      <c r="O242" s="20"/>
      <c r="P242" s="18"/>
      <c r="Q242" s="18"/>
      <c r="R242" s="18"/>
      <c r="S242" s="292"/>
    </row>
    <row r="243" spans="1:22" s="7" customFormat="1" ht="12" customHeight="1">
      <c r="A243" s="113"/>
      <c r="B243" s="117" t="s">
        <v>325</v>
      </c>
      <c r="C243" s="504">
        <v>0</v>
      </c>
      <c r="D243" s="522">
        <v>0</v>
      </c>
      <c r="E243" s="523"/>
      <c r="F243" s="524"/>
      <c r="G243" s="105"/>
      <c r="H243" s="173"/>
      <c r="I243" s="54"/>
      <c r="J243" s="20"/>
      <c r="K243" s="20"/>
      <c r="L243" s="20"/>
      <c r="M243" s="20"/>
      <c r="N243" s="20"/>
      <c r="O243" s="20"/>
      <c r="P243" s="18"/>
      <c r="Q243" s="18"/>
      <c r="R243" s="18"/>
      <c r="S243" s="292"/>
    </row>
    <row r="244" spans="1:22" s="7" customFormat="1" ht="12" customHeight="1">
      <c r="A244" s="113"/>
      <c r="B244" s="117" t="s">
        <v>326</v>
      </c>
      <c r="C244" s="504">
        <v>0</v>
      </c>
      <c r="D244" s="522">
        <v>0</v>
      </c>
      <c r="E244" s="523"/>
      <c r="F244" s="524"/>
      <c r="G244" s="105"/>
      <c r="H244" s="173"/>
      <c r="I244" s="54"/>
      <c r="J244" s="20"/>
      <c r="K244" s="20"/>
      <c r="L244" s="20"/>
      <c r="M244" s="20"/>
      <c r="N244" s="20"/>
      <c r="O244" s="20"/>
      <c r="P244" s="18"/>
      <c r="Q244" s="18"/>
      <c r="R244" s="18"/>
      <c r="S244" s="292"/>
    </row>
    <row r="245" spans="1:22" s="7" customFormat="1" ht="12" customHeight="1">
      <c r="A245" s="113"/>
      <c r="B245" s="117" t="s">
        <v>327</v>
      </c>
      <c r="C245" s="504">
        <v>0</v>
      </c>
      <c r="D245" s="522">
        <v>0</v>
      </c>
      <c r="E245" s="523"/>
      <c r="F245" s="524"/>
      <c r="G245" s="105"/>
      <c r="H245" s="173"/>
      <c r="I245" s="54"/>
      <c r="J245" s="20"/>
      <c r="K245" s="20"/>
      <c r="L245" s="20"/>
      <c r="M245" s="20"/>
      <c r="N245" s="20"/>
      <c r="O245" s="20"/>
      <c r="P245" s="18"/>
      <c r="Q245" s="18"/>
      <c r="R245" s="18"/>
      <c r="S245" s="292"/>
    </row>
    <row r="246" spans="1:22" s="6" customFormat="1" ht="12" customHeight="1">
      <c r="A246" s="114"/>
      <c r="B246" s="118" t="s">
        <v>328</v>
      </c>
      <c r="C246" s="506">
        <f>IF(COUNT(C224:C245)=0,"",SUM(C224:C245))</f>
        <v>0</v>
      </c>
      <c r="D246" s="539">
        <f>IF(COUNT(D224:F245)=0,"",SUM(D224:F245))</f>
        <v>0</v>
      </c>
      <c r="E246" s="540"/>
      <c r="F246" s="541"/>
      <c r="G246" s="106" t="s">
        <v>2</v>
      </c>
      <c r="H246" s="173"/>
      <c r="I246" s="54"/>
      <c r="J246" s="20"/>
      <c r="K246" s="20"/>
      <c r="L246" s="20"/>
      <c r="M246" s="20"/>
      <c r="N246" s="20"/>
      <c r="O246" s="20"/>
      <c r="P246" s="18"/>
      <c r="Q246" s="18"/>
      <c r="R246" s="18"/>
      <c r="S246" s="292"/>
      <c r="T246" s="7"/>
      <c r="U246" s="7"/>
      <c r="V246" s="7"/>
    </row>
    <row r="247" spans="1:22" s="6" customFormat="1" ht="12" customHeight="1">
      <c r="A247" s="114"/>
      <c r="B247" s="118" t="s">
        <v>329</v>
      </c>
      <c r="C247" s="539">
        <f>H5</f>
        <v>0</v>
      </c>
      <c r="D247" s="540"/>
      <c r="E247" s="540"/>
      <c r="F247" s="541"/>
      <c r="G247" s="104" t="s">
        <v>2</v>
      </c>
      <c r="H247" s="173"/>
      <c r="I247" s="54"/>
      <c r="J247" s="20"/>
      <c r="K247" s="20"/>
      <c r="L247" s="20"/>
      <c r="M247" s="20"/>
      <c r="N247" s="20"/>
      <c r="O247" s="20"/>
      <c r="P247" s="18"/>
      <c r="Q247" s="20"/>
      <c r="R247" s="20"/>
      <c r="S247" s="302"/>
    </row>
    <row r="248" spans="1:22" s="7" customFormat="1" ht="12" customHeight="1">
      <c r="A248" s="115"/>
      <c r="B248" s="119" t="s">
        <v>330</v>
      </c>
      <c r="C248" s="542" t="str">
        <f>IF(OR(COUNT(C224:F245)=0,C247=0,D246="",C246=""),"",(C247*COUNTA(B224:B245)-C246-D246)/(C247*COUNTA(B224:B245)))</f>
        <v/>
      </c>
      <c r="D248" s="543"/>
      <c r="E248" s="543"/>
      <c r="F248" s="544"/>
      <c r="G248" s="20"/>
      <c r="H248" s="172"/>
      <c r="I248" s="105"/>
      <c r="J248" s="510"/>
      <c r="K248" s="510"/>
      <c r="L248" s="510"/>
      <c r="M248" s="510"/>
      <c r="N248" s="510"/>
      <c r="O248" s="510"/>
      <c r="P248" s="21"/>
      <c r="Q248" s="20"/>
      <c r="R248" s="20"/>
      <c r="S248" s="302"/>
      <c r="T248" s="6"/>
      <c r="U248" s="6"/>
      <c r="V248" s="6"/>
    </row>
    <row r="249" spans="1:22" s="7" customFormat="1" ht="11.25" customHeight="1">
      <c r="A249" s="115"/>
      <c r="B249" s="44"/>
      <c r="C249" s="128"/>
      <c r="D249" s="128"/>
      <c r="E249" s="128"/>
      <c r="F249" s="128"/>
      <c r="G249" s="20"/>
      <c r="H249" s="172"/>
      <c r="I249" s="105"/>
      <c r="J249" s="61"/>
      <c r="K249" s="510"/>
      <c r="L249" s="23"/>
      <c r="M249" s="510"/>
      <c r="N249" s="510"/>
      <c r="O249" s="510"/>
      <c r="P249" s="21"/>
      <c r="Q249" s="20"/>
      <c r="R249" s="20"/>
      <c r="S249" s="302"/>
      <c r="T249" s="6"/>
      <c r="U249" s="6"/>
      <c r="V249" s="6"/>
    </row>
    <row r="250" spans="1:22" s="7" customFormat="1" ht="12" customHeight="1">
      <c r="A250" s="115"/>
      <c r="B250" s="44"/>
      <c r="C250" s="128"/>
      <c r="D250" s="459">
        <v>0</v>
      </c>
      <c r="E250" s="460" t="s">
        <v>89</v>
      </c>
      <c r="F250" s="461">
        <v>0.8</v>
      </c>
      <c r="G250" s="141" t="str">
        <f>IF(F250&gt;$C$248,H250,"")</f>
        <v/>
      </c>
      <c r="H250" s="245">
        <v>0</v>
      </c>
      <c r="I250" s="105"/>
      <c r="J250" s="510"/>
      <c r="K250" s="510"/>
      <c r="L250" s="510"/>
      <c r="M250" s="510"/>
      <c r="N250" s="510"/>
      <c r="O250" s="510"/>
      <c r="P250" s="21"/>
      <c r="Q250" s="20"/>
      <c r="R250" s="20"/>
      <c r="S250" s="302"/>
      <c r="T250" s="6"/>
      <c r="U250" s="6"/>
      <c r="V250" s="6"/>
    </row>
    <row r="251" spans="1:22" s="7" customFormat="1" ht="12" customHeight="1">
      <c r="A251" s="115"/>
      <c r="B251" s="44"/>
      <c r="C251" s="128"/>
      <c r="D251" s="459">
        <f>F250</f>
        <v>0.8</v>
      </c>
      <c r="E251" s="460" t="s">
        <v>57</v>
      </c>
      <c r="F251" s="461">
        <v>0.9</v>
      </c>
      <c r="G251" s="141" t="str">
        <f t="shared" ref="G251" si="26">IF(OR(D251=$C$248,AND(D251&lt;$C$248, F251&gt;$C$248)),H251,"")</f>
        <v/>
      </c>
      <c r="H251" s="245">
        <v>3</v>
      </c>
      <c r="I251" s="105"/>
      <c r="J251" s="510"/>
      <c r="K251" s="510"/>
      <c r="L251" s="510"/>
      <c r="M251" s="510"/>
      <c r="N251" s="510"/>
      <c r="O251" s="510"/>
      <c r="P251" s="21"/>
      <c r="Q251" s="20"/>
      <c r="R251" s="20"/>
      <c r="S251" s="302"/>
      <c r="T251" s="6"/>
      <c r="U251" s="6"/>
      <c r="V251" s="6"/>
    </row>
    <row r="252" spans="1:22" s="7" customFormat="1" ht="12" customHeight="1">
      <c r="A252" s="115"/>
      <c r="B252" s="44"/>
      <c r="C252" s="128"/>
      <c r="D252" s="459">
        <f>F251</f>
        <v>0.9</v>
      </c>
      <c r="E252" s="460" t="s">
        <v>85</v>
      </c>
      <c r="F252" s="461"/>
      <c r="G252" s="141" t="str">
        <f>IF(C248="","",IF(OR(D252=$C$248,D252&lt;$C$248),H252,""))</f>
        <v/>
      </c>
      <c r="H252" s="245">
        <v>5</v>
      </c>
      <c r="I252" s="105"/>
      <c r="J252" s="510"/>
      <c r="K252" s="510"/>
      <c r="L252" s="510"/>
      <c r="M252" s="510"/>
      <c r="N252" s="510"/>
      <c r="O252" s="510"/>
      <c r="P252" s="21"/>
      <c r="Q252" s="20"/>
      <c r="R252" s="20"/>
      <c r="S252" s="302"/>
      <c r="T252" s="6"/>
      <c r="U252" s="6"/>
      <c r="V252" s="6"/>
    </row>
    <row r="253" spans="1:22" s="7" customFormat="1" ht="11.25" customHeight="1">
      <c r="A253" s="115"/>
      <c r="B253" s="63"/>
      <c r="C253" s="18"/>
      <c r="D253" s="474"/>
      <c r="E253" s="474"/>
      <c r="F253" s="474"/>
      <c r="G253" s="20"/>
      <c r="H253" s="172"/>
      <c r="I253" s="105"/>
      <c r="J253" s="510"/>
      <c r="K253" s="510"/>
      <c r="L253" s="510"/>
      <c r="M253" s="510"/>
      <c r="N253" s="510"/>
      <c r="O253" s="510"/>
      <c r="P253" s="510"/>
      <c r="Q253" s="20"/>
      <c r="R253" s="20"/>
      <c r="S253" s="302"/>
      <c r="T253" s="6"/>
      <c r="U253" s="6"/>
      <c r="V253" s="6"/>
    </row>
    <row r="254" spans="1:22" s="7" customFormat="1" ht="27.95" customHeight="1">
      <c r="A254" s="42" t="s">
        <v>331</v>
      </c>
      <c r="B254" s="189"/>
      <c r="C254" s="191" t="s">
        <v>47</v>
      </c>
      <c r="D254" s="503">
        <f>SUM(G256:G261)</f>
        <v>0</v>
      </c>
      <c r="E254" s="189"/>
      <c r="F254" s="125"/>
      <c r="G254" s="190" t="s">
        <v>17</v>
      </c>
      <c r="H254" s="206">
        <v>5</v>
      </c>
      <c r="I254" s="193"/>
      <c r="J254" s="61"/>
      <c r="K254" s="510"/>
      <c r="L254" s="23"/>
      <c r="M254" s="20"/>
      <c r="N254" s="20"/>
      <c r="O254" s="20"/>
      <c r="P254" s="20"/>
      <c r="Q254" s="20"/>
      <c r="R254" s="18"/>
      <c r="S254" s="292"/>
    </row>
    <row r="255" spans="1:22" s="66" customFormat="1" ht="50.25" customHeight="1">
      <c r="A255" s="275" t="s">
        <v>332</v>
      </c>
      <c r="B255" s="493" t="s">
        <v>40</v>
      </c>
      <c r="C255" s="493" t="s">
        <v>41</v>
      </c>
      <c r="D255" s="538" t="s">
        <v>42</v>
      </c>
      <c r="E255" s="538"/>
      <c r="F255" s="538"/>
      <c r="G255" s="493" t="s">
        <v>43</v>
      </c>
      <c r="H255" s="186" t="s">
        <v>44</v>
      </c>
      <c r="I255" s="493"/>
      <c r="J255" s="53" t="s">
        <v>45</v>
      </c>
      <c r="K255" s="67"/>
      <c r="L255" s="67"/>
      <c r="M255" s="67"/>
      <c r="N255" s="67"/>
      <c r="O255" s="67"/>
      <c r="P255" s="67"/>
      <c r="Q255" s="67"/>
      <c r="R255" s="67"/>
      <c r="S255" s="295"/>
    </row>
    <row r="256" spans="1:22" s="7" customFormat="1" ht="25.5">
      <c r="A256" s="154" t="s">
        <v>333</v>
      </c>
      <c r="B256" s="155" t="s">
        <v>334</v>
      </c>
      <c r="C256" s="17"/>
      <c r="D256" s="459">
        <v>0</v>
      </c>
      <c r="E256" s="460" t="s">
        <v>89</v>
      </c>
      <c r="F256" s="461">
        <v>0.45</v>
      </c>
      <c r="G256" s="141" t="str">
        <f>IF(F256&gt;$C$258,H256,"")</f>
        <v/>
      </c>
      <c r="H256" s="245">
        <v>0</v>
      </c>
      <c r="I256" s="24"/>
      <c r="J256" s="27">
        <v>0.9</v>
      </c>
      <c r="K256" s="510" t="s">
        <v>335</v>
      </c>
      <c r="L256" s="23"/>
      <c r="M256" s="23"/>
      <c r="N256" s="20"/>
      <c r="O256" s="20"/>
      <c r="P256" s="20"/>
      <c r="Q256" s="20"/>
      <c r="R256" s="18"/>
      <c r="S256" s="292"/>
    </row>
    <row r="257" spans="1:22" s="7" customFormat="1" ht="25.5">
      <c r="A257" s="156" t="s">
        <v>336</v>
      </c>
      <c r="B257" s="155" t="s">
        <v>337</v>
      </c>
      <c r="C257" s="17"/>
      <c r="D257" s="459">
        <f>F256</f>
        <v>0.45</v>
      </c>
      <c r="E257" s="460" t="s">
        <v>57</v>
      </c>
      <c r="F257" s="461">
        <f>D257+$J$258</f>
        <v>0.56000000000000005</v>
      </c>
      <c r="G257" s="141" t="str">
        <f>IF(OR(D257=$C$258,AND(D257&lt;$C$258, F257&gt;$C$258)),H257,"")</f>
        <v/>
      </c>
      <c r="H257" s="245">
        <f>H256+J$260</f>
        <v>1</v>
      </c>
      <c r="I257" s="24"/>
      <c r="J257" s="28">
        <f>0.5*J256</f>
        <v>0.45</v>
      </c>
      <c r="K257" s="510" t="s">
        <v>83</v>
      </c>
      <c r="L257" s="23"/>
      <c r="M257" s="23"/>
      <c r="N257" s="20"/>
      <c r="O257" s="20"/>
      <c r="P257" s="20"/>
      <c r="Q257" s="20"/>
      <c r="R257" s="18"/>
      <c r="S257" s="292"/>
    </row>
    <row r="258" spans="1:22" s="7" customFormat="1">
      <c r="A258" s="495" t="s">
        <v>338</v>
      </c>
      <c r="B258" s="157" t="s">
        <v>100</v>
      </c>
      <c r="C258" s="244" t="str">
        <f>IF(OR(C257=0,ISBLANK(C257),ISBLANK(C256)),"",C256/C257)</f>
        <v/>
      </c>
      <c r="D258" s="459">
        <f t="shared" ref="D258:D261" si="27">F257</f>
        <v>0.56000000000000005</v>
      </c>
      <c r="E258" s="460" t="s">
        <v>57</v>
      </c>
      <c r="F258" s="461">
        <f>D258+$J$258</f>
        <v>0.67</v>
      </c>
      <c r="G258" s="141" t="str">
        <f t="shared" ref="G258:G260" si="28">IF(OR(D258=$C$258,AND(D258&lt;$C$258, F258&gt;$C$258)),H258,"")</f>
        <v/>
      </c>
      <c r="H258" s="245">
        <f>H257+J$260</f>
        <v>2</v>
      </c>
      <c r="I258" s="24"/>
      <c r="J258" s="28">
        <f>(1-J257)/5</f>
        <v>0.11000000000000001</v>
      </c>
      <c r="K258" s="510" t="s">
        <v>84</v>
      </c>
      <c r="L258" s="23"/>
      <c r="M258" s="23"/>
      <c r="N258" s="20"/>
      <c r="O258" s="20"/>
      <c r="P258" s="20"/>
      <c r="Q258" s="20"/>
      <c r="R258" s="18"/>
      <c r="S258" s="292"/>
    </row>
    <row r="259" spans="1:22" s="7" customFormat="1">
      <c r="A259" s="18"/>
      <c r="B259" s="18"/>
      <c r="C259" s="18"/>
      <c r="D259" s="459">
        <f t="shared" si="27"/>
        <v>0.67</v>
      </c>
      <c r="E259" s="460" t="s">
        <v>57</v>
      </c>
      <c r="F259" s="461">
        <f>D259+$J$258</f>
        <v>0.78</v>
      </c>
      <c r="G259" s="141" t="str">
        <f t="shared" si="28"/>
        <v/>
      </c>
      <c r="H259" s="245">
        <f>H258+J$260</f>
        <v>3</v>
      </c>
      <c r="I259" s="24"/>
      <c r="J259" s="24">
        <f>H254</f>
        <v>5</v>
      </c>
      <c r="K259" s="510" t="s">
        <v>64</v>
      </c>
      <c r="L259" s="23"/>
      <c r="M259" s="23"/>
      <c r="N259" s="20"/>
      <c r="O259" s="20"/>
      <c r="P259" s="20"/>
      <c r="Q259" s="20"/>
      <c r="R259" s="18"/>
      <c r="S259" s="292"/>
    </row>
    <row r="260" spans="1:22" s="7" customFormat="1" ht="38.25">
      <c r="A260" s="113"/>
      <c r="B260" s="490" t="s">
        <v>339</v>
      </c>
      <c r="C260" s="18"/>
      <c r="D260" s="459">
        <f t="shared" si="27"/>
        <v>0.78</v>
      </c>
      <c r="E260" s="460" t="s">
        <v>57</v>
      </c>
      <c r="F260" s="461">
        <f>D260+$J$258</f>
        <v>0.89</v>
      </c>
      <c r="G260" s="141" t="str">
        <f t="shared" si="28"/>
        <v/>
      </c>
      <c r="H260" s="245">
        <f>H259+J$260</f>
        <v>4</v>
      </c>
      <c r="I260" s="24"/>
      <c r="J260" s="24">
        <f>J259/5</f>
        <v>1</v>
      </c>
      <c r="K260" s="510" t="s">
        <v>67</v>
      </c>
      <c r="L260" s="23"/>
      <c r="M260" s="23"/>
      <c r="N260" s="20"/>
      <c r="O260" s="20"/>
      <c r="P260" s="20"/>
      <c r="Q260" s="20"/>
      <c r="R260" s="18"/>
      <c r="S260" s="292"/>
    </row>
    <row r="261" spans="1:22">
      <c r="A261" s="110"/>
      <c r="B261" s="70"/>
      <c r="C261" s="122" t="s">
        <v>2</v>
      </c>
      <c r="D261" s="459">
        <f t="shared" si="27"/>
        <v>0.89</v>
      </c>
      <c r="E261" s="460" t="s">
        <v>134</v>
      </c>
      <c r="F261" s="461" t="s">
        <v>91</v>
      </c>
      <c r="G261" s="141" t="str">
        <f>IF(C258="","",IF(OR(D261=$C$258,D261&lt;$C$258),H261,""))</f>
        <v/>
      </c>
      <c r="H261" s="245">
        <f>H260+J$260</f>
        <v>5</v>
      </c>
      <c r="I261" s="24"/>
      <c r="J261" s="20"/>
      <c r="K261" s="20"/>
      <c r="L261" s="20"/>
      <c r="M261" s="20"/>
      <c r="N261" s="20"/>
      <c r="O261" s="20"/>
      <c r="P261" s="20"/>
      <c r="Q261" s="20"/>
      <c r="R261" s="18"/>
      <c r="S261" s="292"/>
      <c r="T261" s="7"/>
      <c r="U261" s="7"/>
      <c r="V261" s="7"/>
    </row>
    <row r="262" spans="1:22">
      <c r="A262" s="110"/>
      <c r="B262" s="70"/>
      <c r="C262" s="122"/>
      <c r="D262" s="130"/>
      <c r="E262" s="93"/>
      <c r="F262" s="94"/>
      <c r="G262" s="164"/>
      <c r="H262" s="266"/>
      <c r="I262" s="24"/>
      <c r="J262" s="20"/>
      <c r="K262" s="20"/>
      <c r="L262" s="20"/>
      <c r="M262" s="20"/>
      <c r="N262" s="20"/>
      <c r="O262" s="20"/>
      <c r="P262" s="20"/>
      <c r="Q262" s="20"/>
      <c r="R262" s="18"/>
      <c r="S262" s="292"/>
      <c r="T262" s="7"/>
      <c r="U262" s="7"/>
      <c r="V262" s="7"/>
    </row>
    <row r="263" spans="1:22" ht="15">
      <c r="A263" s="42" t="s">
        <v>340</v>
      </c>
      <c r="B263" s="189"/>
      <c r="C263" s="191" t="s">
        <v>47</v>
      </c>
      <c r="D263" s="38">
        <f>SUM(D265:D266)</f>
        <v>0</v>
      </c>
      <c r="E263" s="189"/>
      <c r="F263" s="125"/>
      <c r="G263" s="190" t="s">
        <v>17</v>
      </c>
      <c r="H263" s="206">
        <v>5</v>
      </c>
      <c r="I263" s="24"/>
      <c r="J263" s="20"/>
      <c r="K263" s="20"/>
      <c r="L263" s="20"/>
      <c r="M263" s="20"/>
      <c r="N263" s="20"/>
      <c r="O263" s="20"/>
      <c r="P263" s="20"/>
      <c r="Q263" s="20"/>
      <c r="R263" s="18"/>
      <c r="S263" s="292"/>
      <c r="T263" s="7"/>
      <c r="U263" s="7"/>
      <c r="V263" s="7"/>
    </row>
    <row r="264" spans="1:22">
      <c r="A264" s="146"/>
      <c r="B264" s="493" t="s">
        <v>40</v>
      </c>
      <c r="C264" s="493" t="s">
        <v>41</v>
      </c>
      <c r="D264" s="548" t="s">
        <v>341</v>
      </c>
      <c r="E264" s="548"/>
      <c r="F264" s="549"/>
      <c r="G264" s="232"/>
      <c r="H264" s="233"/>
      <c r="I264" s="24"/>
      <c r="J264" s="20"/>
      <c r="K264" s="20"/>
      <c r="L264" s="20"/>
      <c r="M264" s="20"/>
      <c r="N264" s="20"/>
      <c r="O264" s="20"/>
      <c r="P264" s="20"/>
      <c r="Q264" s="20"/>
      <c r="R264" s="18"/>
      <c r="S264" s="292"/>
      <c r="T264" s="7"/>
      <c r="U264" s="7"/>
      <c r="V264" s="7"/>
    </row>
    <row r="265" spans="1:22" ht="28.5" customHeight="1">
      <c r="A265" s="495" t="s">
        <v>342</v>
      </c>
      <c r="B265" s="495" t="s">
        <v>343</v>
      </c>
      <c r="C265" s="101" t="s">
        <v>25</v>
      </c>
      <c r="D265" s="550" t="str">
        <f>IF(C265="Yes",0.6*H263,"")</f>
        <v/>
      </c>
      <c r="E265" s="551"/>
      <c r="F265" s="552"/>
      <c r="G265" s="220"/>
      <c r="H265" s="230"/>
      <c r="I265" s="59"/>
      <c r="J265" s="82" t="s">
        <v>344</v>
      </c>
      <c r="K265" s="18"/>
      <c r="L265" s="18"/>
      <c r="M265" s="18"/>
      <c r="O265" s="18"/>
      <c r="P265" s="18"/>
      <c r="Q265" s="18"/>
      <c r="R265" s="18"/>
    </row>
    <row r="266" spans="1:22" ht="27.75" customHeight="1">
      <c r="A266" s="495" t="s">
        <v>345</v>
      </c>
      <c r="B266" s="495" t="s">
        <v>343</v>
      </c>
      <c r="C266" s="101" t="s">
        <v>25</v>
      </c>
      <c r="D266" s="550" t="str">
        <f>IF(C266="Yes",0.4*H263,"")</f>
        <v/>
      </c>
      <c r="E266" s="551"/>
      <c r="F266" s="552"/>
      <c r="G266" s="220"/>
      <c r="H266" s="230"/>
      <c r="I266" s="59"/>
      <c r="J266" s="18"/>
      <c r="K266" s="18"/>
      <c r="L266" s="18"/>
      <c r="M266" s="18"/>
      <c r="O266" s="18"/>
      <c r="P266" s="18"/>
      <c r="Q266" s="18"/>
      <c r="R266" s="18"/>
    </row>
    <row r="267" spans="1:22" ht="19.5" customHeight="1">
      <c r="A267" s="51"/>
      <c r="B267" s="70"/>
      <c r="C267" s="59"/>
      <c r="D267" s="18"/>
      <c r="E267" s="18"/>
      <c r="F267" s="18"/>
      <c r="G267" s="59"/>
      <c r="H267" s="231"/>
      <c r="I267" s="59"/>
      <c r="J267" s="18"/>
      <c r="K267" s="18"/>
      <c r="L267" s="18"/>
      <c r="M267" s="18"/>
      <c r="O267" s="18"/>
      <c r="P267" s="18"/>
      <c r="Q267" s="18"/>
      <c r="R267" s="18"/>
    </row>
    <row r="268" spans="1:22" ht="25.5">
      <c r="A268" s="42" t="s">
        <v>346</v>
      </c>
      <c r="B268" s="189"/>
      <c r="C268" s="191" t="s">
        <v>47</v>
      </c>
      <c r="D268" s="503">
        <f>SUM(G270:G275)</f>
        <v>0</v>
      </c>
      <c r="E268" s="189"/>
      <c r="F268" s="125"/>
      <c r="G268" s="190" t="s">
        <v>17</v>
      </c>
      <c r="H268" s="206">
        <v>10</v>
      </c>
      <c r="I268" s="51"/>
      <c r="J268" s="61"/>
      <c r="K268" s="510"/>
      <c r="L268" s="23"/>
      <c r="M268" s="18"/>
      <c r="O268" s="18"/>
      <c r="P268" s="18"/>
      <c r="Q268" s="18"/>
      <c r="R268" s="18"/>
      <c r="S268" s="291" t="s">
        <v>347</v>
      </c>
    </row>
    <row r="269" spans="1:22" ht="54.75" customHeight="1">
      <c r="A269" s="146"/>
      <c r="B269" s="493" t="s">
        <v>40</v>
      </c>
      <c r="C269" s="493" t="s">
        <v>41</v>
      </c>
      <c r="D269" s="538" t="s">
        <v>42</v>
      </c>
      <c r="E269" s="538"/>
      <c r="F269" s="538"/>
      <c r="G269" s="493" t="s">
        <v>43</v>
      </c>
      <c r="H269" s="186" t="s">
        <v>44</v>
      </c>
      <c r="I269" s="51"/>
      <c r="J269" s="18"/>
      <c r="K269" s="18"/>
      <c r="L269" s="18"/>
      <c r="M269" s="18"/>
      <c r="O269" s="18"/>
      <c r="P269" s="18"/>
      <c r="Q269" s="18"/>
      <c r="R269" s="18"/>
    </row>
    <row r="270" spans="1:22" ht="25.5">
      <c r="A270" s="495" t="s">
        <v>348</v>
      </c>
      <c r="B270" s="495" t="s">
        <v>349</v>
      </c>
      <c r="C270" s="223"/>
      <c r="D270" s="459">
        <v>0</v>
      </c>
      <c r="E270" s="460" t="s">
        <v>89</v>
      </c>
      <c r="F270" s="461">
        <v>0.45</v>
      </c>
      <c r="G270" s="141" t="str">
        <f>IF(F270&gt;$C$272,H270,"")</f>
        <v/>
      </c>
      <c r="H270" s="245">
        <v>0</v>
      </c>
      <c r="I270" s="59"/>
      <c r="J270" s="27">
        <v>0.9</v>
      </c>
      <c r="K270" s="134" t="s">
        <v>350</v>
      </c>
      <c r="L270" s="23"/>
      <c r="M270" s="23"/>
      <c r="N270" s="20"/>
      <c r="O270" s="18"/>
      <c r="P270" s="18"/>
      <c r="Q270" s="18"/>
      <c r="R270" s="18"/>
    </row>
    <row r="271" spans="1:22" ht="25.5">
      <c r="A271" s="495" t="s">
        <v>351</v>
      </c>
      <c r="B271" s="495" t="s">
        <v>352</v>
      </c>
      <c r="C271" s="223"/>
      <c r="D271" s="459">
        <f>F270</f>
        <v>0.45</v>
      </c>
      <c r="E271" s="460" t="s">
        <v>57</v>
      </c>
      <c r="F271" s="461">
        <f>D271+$J$258</f>
        <v>0.56000000000000005</v>
      </c>
      <c r="G271" s="141" t="str">
        <f>IF(OR(D271=$C$272,AND(D271&lt;$C$272, F271&gt;$C$272)),H271,"")</f>
        <v/>
      </c>
      <c r="H271" s="245">
        <f>H270+$J$274</f>
        <v>2</v>
      </c>
      <c r="I271" s="59"/>
      <c r="J271" s="28">
        <f>0.5*J270</f>
        <v>0.45</v>
      </c>
      <c r="K271" s="510" t="s">
        <v>83</v>
      </c>
      <c r="L271" s="23"/>
      <c r="M271" s="23"/>
      <c r="N271" s="20"/>
      <c r="O271" s="18"/>
      <c r="P271" s="18"/>
      <c r="Q271" s="18"/>
      <c r="R271" s="18"/>
    </row>
    <row r="272" spans="1:22" ht="17.25" customHeight="1">
      <c r="A272" s="495" t="s">
        <v>353</v>
      </c>
      <c r="B272" s="236" t="s">
        <v>100</v>
      </c>
      <c r="C272" s="210" t="str">
        <f>IF(OR(ISBLANK(C270),ISBLANK(C271)),"",C271/C270)</f>
        <v/>
      </c>
      <c r="D272" s="459">
        <f t="shared" ref="D272:D275" si="29">F271</f>
        <v>0.56000000000000005</v>
      </c>
      <c r="E272" s="460" t="s">
        <v>57</v>
      </c>
      <c r="F272" s="461">
        <f>D272+$J$258</f>
        <v>0.67</v>
      </c>
      <c r="G272" s="141" t="str">
        <f t="shared" ref="G272:G274" si="30">IF(OR(D272=$C$272,AND(D272&lt;$C$272, F272&gt;$C$272)),H272,"")</f>
        <v/>
      </c>
      <c r="H272" s="245">
        <f t="shared" ref="H272:H275" si="31">H271+$J$274</f>
        <v>4</v>
      </c>
      <c r="I272" s="59"/>
      <c r="J272" s="28">
        <f>(1-J271)/5</f>
        <v>0.11000000000000001</v>
      </c>
      <c r="K272" s="510" t="s">
        <v>84</v>
      </c>
      <c r="L272" s="23"/>
      <c r="M272" s="23"/>
      <c r="N272" s="20"/>
      <c r="O272" s="18"/>
      <c r="P272" s="18"/>
      <c r="Q272" s="18"/>
      <c r="R272" s="18"/>
    </row>
    <row r="273" spans="1:19">
      <c r="A273" s="165"/>
      <c r="B273" s="166" t="s">
        <v>2</v>
      </c>
      <c r="C273" s="285" t="s">
        <v>2</v>
      </c>
      <c r="D273" s="459">
        <f t="shared" si="29"/>
        <v>0.67</v>
      </c>
      <c r="E273" s="460" t="s">
        <v>57</v>
      </c>
      <c r="F273" s="461">
        <f>D273+$J$258</f>
        <v>0.78</v>
      </c>
      <c r="G273" s="141" t="str">
        <f t="shared" si="30"/>
        <v/>
      </c>
      <c r="H273" s="245">
        <f t="shared" si="31"/>
        <v>6</v>
      </c>
      <c r="I273" s="59"/>
      <c r="J273" s="24">
        <f>H268</f>
        <v>10</v>
      </c>
      <c r="K273" s="510" t="s">
        <v>64</v>
      </c>
      <c r="L273" s="23"/>
      <c r="M273" s="23"/>
      <c r="N273" s="20"/>
      <c r="O273" s="18"/>
      <c r="P273" s="18"/>
      <c r="Q273" s="18"/>
      <c r="R273" s="18"/>
    </row>
    <row r="274" spans="1:19">
      <c r="A274" s="165"/>
      <c r="B274" s="166"/>
      <c r="C274" s="193"/>
      <c r="D274" s="459">
        <f t="shared" si="29"/>
        <v>0.78</v>
      </c>
      <c r="E274" s="460" t="s">
        <v>57</v>
      </c>
      <c r="F274" s="461">
        <f>D274+$J$258</f>
        <v>0.89</v>
      </c>
      <c r="G274" s="141" t="str">
        <f t="shared" si="30"/>
        <v/>
      </c>
      <c r="H274" s="245">
        <f t="shared" si="31"/>
        <v>8</v>
      </c>
      <c r="I274" s="59"/>
      <c r="J274" s="24">
        <f>J273/5</f>
        <v>2</v>
      </c>
      <c r="K274" s="510" t="s">
        <v>67</v>
      </c>
      <c r="L274" s="23"/>
      <c r="M274" s="23"/>
      <c r="N274" s="20"/>
      <c r="O274" s="18"/>
      <c r="P274" s="18"/>
      <c r="Q274" s="18"/>
      <c r="R274" s="18"/>
    </row>
    <row r="275" spans="1:19">
      <c r="A275" s="165"/>
      <c r="B275" s="166"/>
      <c r="C275" s="193"/>
      <c r="D275" s="459">
        <f t="shared" si="29"/>
        <v>0.89</v>
      </c>
      <c r="E275" s="460" t="s">
        <v>134</v>
      </c>
      <c r="F275" s="461" t="s">
        <v>91</v>
      </c>
      <c r="G275" s="141" t="str">
        <f>IF(C272="","",IF(OR(D275=$C$272,D275&lt;$C$272),H275,""))</f>
        <v/>
      </c>
      <c r="H275" s="245">
        <f t="shared" si="31"/>
        <v>10</v>
      </c>
      <c r="I275" s="59"/>
      <c r="J275" s="18"/>
      <c r="K275" s="18"/>
      <c r="L275" s="18"/>
      <c r="M275" s="18"/>
      <c r="O275" s="18"/>
      <c r="P275" s="18"/>
      <c r="Q275" s="18"/>
      <c r="R275" s="18"/>
    </row>
    <row r="276" spans="1:19" ht="19.5" customHeight="1" thickBot="1">
      <c r="A276" s="51"/>
      <c r="B276" s="70"/>
      <c r="C276" s="59"/>
      <c r="D276" s="18"/>
      <c r="E276" s="18"/>
      <c r="F276" s="18"/>
      <c r="G276" s="170"/>
      <c r="H276" s="237"/>
      <c r="I276" s="59"/>
      <c r="J276" s="18"/>
      <c r="K276" s="18"/>
      <c r="L276" s="18"/>
      <c r="M276" s="18"/>
      <c r="O276" s="18"/>
      <c r="P276" s="18"/>
      <c r="Q276" s="18"/>
      <c r="R276" s="18"/>
    </row>
    <row r="277" spans="1:19" ht="20.25" customHeight="1" thickTop="1" thickBot="1">
      <c r="A277" s="133" t="s">
        <v>354</v>
      </c>
      <c r="B277" s="80"/>
      <c r="C277" s="79" t="s">
        <v>37</v>
      </c>
      <c r="D277" s="535">
        <f>SUM(D279:F281)</f>
        <v>0</v>
      </c>
      <c r="E277" s="536"/>
      <c r="F277" s="537"/>
      <c r="G277" s="75" t="s">
        <v>17</v>
      </c>
      <c r="H277" s="240">
        <v>16</v>
      </c>
      <c r="I277" s="59"/>
      <c r="J277" s="350"/>
      <c r="K277" s="18"/>
      <c r="L277" s="18"/>
      <c r="M277" s="18"/>
      <c r="O277" s="18"/>
      <c r="P277" s="18"/>
      <c r="Q277" s="18"/>
      <c r="R277" s="18"/>
    </row>
    <row r="278" spans="1:19" ht="13.5" thickTop="1">
      <c r="A278" s="147"/>
      <c r="B278" s="493" t="s">
        <v>40</v>
      </c>
      <c r="C278" s="493" t="s">
        <v>41</v>
      </c>
      <c r="D278" s="538" t="s">
        <v>43</v>
      </c>
      <c r="E278" s="538"/>
      <c r="F278" s="538"/>
      <c r="G278" s="493"/>
      <c r="H278" s="183"/>
      <c r="I278" s="59"/>
      <c r="J278" s="18"/>
      <c r="K278" s="18"/>
      <c r="L278" s="18"/>
      <c r="M278" s="18"/>
      <c r="O278" s="18"/>
      <c r="P278" s="18"/>
      <c r="Q278" s="18"/>
      <c r="R278" s="18"/>
    </row>
    <row r="279" spans="1:19" ht="43.5" customHeight="1">
      <c r="A279" s="342" t="s">
        <v>355</v>
      </c>
      <c r="B279" s="495" t="s">
        <v>356</v>
      </c>
      <c r="C279" s="101" t="s">
        <v>25</v>
      </c>
      <c r="D279" s="545" t="str">
        <f>IF(C279="SELECT YES OR NO","",IF(C279="Yes",8,IF(C279="No",0)))</f>
        <v/>
      </c>
      <c r="E279" s="546"/>
      <c r="F279" s="547"/>
      <c r="G279" s="308" t="s">
        <v>2</v>
      </c>
      <c r="H279" s="234"/>
      <c r="I279" s="59"/>
      <c r="J279" s="18"/>
      <c r="K279" s="18"/>
      <c r="L279" s="18"/>
      <c r="M279" s="18"/>
      <c r="O279" s="18"/>
      <c r="P279" s="18"/>
      <c r="Q279" s="18"/>
      <c r="R279" s="18"/>
      <c r="S279" s="291" t="s">
        <v>357</v>
      </c>
    </row>
    <row r="280" spans="1:19" ht="43.5" customHeight="1">
      <c r="A280" s="342" t="s">
        <v>358</v>
      </c>
      <c r="B280" s="495"/>
      <c r="C280" s="101" t="s">
        <v>359</v>
      </c>
      <c r="D280" s="507"/>
      <c r="E280" s="508"/>
      <c r="F280" s="509"/>
      <c r="G280" s="376"/>
      <c r="H280" s="234"/>
      <c r="I280" s="59"/>
      <c r="J280" s="18"/>
      <c r="K280" s="18"/>
      <c r="L280" s="18"/>
      <c r="M280" s="18"/>
      <c r="O280" s="18"/>
      <c r="P280" s="18"/>
      <c r="Q280" s="18"/>
      <c r="R280" s="18"/>
    </row>
    <row r="281" spans="1:19" ht="43.5" customHeight="1">
      <c r="A281" s="342" t="s">
        <v>360</v>
      </c>
      <c r="B281" s="499" t="s">
        <v>361</v>
      </c>
      <c r="C281" s="101" t="s">
        <v>25</v>
      </c>
      <c r="D281" s="529" t="str">
        <f>IF(C281="SELECT YES OR NO","",IF(C281="Yes",8,IF(C281="No",0)))</f>
        <v/>
      </c>
      <c r="E281" s="530"/>
      <c r="F281" s="531"/>
      <c r="G281" s="50"/>
      <c r="H281" s="234"/>
      <c r="I281" s="59"/>
      <c r="J281" s="18"/>
      <c r="K281" s="235"/>
      <c r="L281" s="18"/>
      <c r="M281" s="18"/>
      <c r="O281" s="18"/>
      <c r="P281" s="18"/>
      <c r="Q281" s="18"/>
      <c r="R281" s="18"/>
      <c r="S281" s="291" t="s">
        <v>362</v>
      </c>
    </row>
    <row r="282" spans="1:19">
      <c r="A282" s="51"/>
      <c r="B282" s="70"/>
      <c r="C282" s="59"/>
      <c r="D282" s="18"/>
      <c r="E282" s="18"/>
      <c r="F282" s="18"/>
      <c r="G282" s="59"/>
      <c r="H282" s="183"/>
      <c r="I282" s="59"/>
      <c r="J282" s="18"/>
      <c r="K282" s="18"/>
      <c r="L282" s="18"/>
      <c r="M282" s="18"/>
      <c r="O282" s="18"/>
      <c r="P282" s="18"/>
      <c r="Q282" s="18"/>
      <c r="R282" s="18"/>
    </row>
    <row r="283" spans="1:19">
      <c r="A283" s="51"/>
      <c r="B283" s="70"/>
      <c r="C283" s="59"/>
      <c r="D283" s="18"/>
      <c r="E283" s="18"/>
      <c r="F283" s="18"/>
      <c r="G283" s="59"/>
      <c r="H283" s="183"/>
      <c r="I283" s="59"/>
      <c r="J283" s="18"/>
      <c r="K283" s="18"/>
      <c r="L283" s="18"/>
      <c r="M283" s="18"/>
      <c r="O283" s="18"/>
      <c r="P283" s="18"/>
      <c r="Q283" s="18"/>
      <c r="R283" s="18"/>
    </row>
    <row r="284" spans="1:19">
      <c r="A284" s="51"/>
      <c r="B284" s="70"/>
      <c r="C284" s="59"/>
      <c r="D284" s="18"/>
      <c r="E284" s="18"/>
      <c r="F284" s="18"/>
      <c r="G284" s="59"/>
      <c r="H284" s="183"/>
      <c r="I284" s="59"/>
      <c r="J284" s="18"/>
      <c r="K284" s="18"/>
      <c r="L284" s="18"/>
      <c r="M284" s="18"/>
      <c r="O284" s="18"/>
      <c r="P284" s="18"/>
      <c r="Q284" s="18"/>
      <c r="R284" s="18"/>
    </row>
  </sheetData>
  <mergeCells count="96">
    <mergeCell ref="D14:F14"/>
    <mergeCell ref="A186:B186"/>
    <mergeCell ref="A150:B150"/>
    <mergeCell ref="E102:G102"/>
    <mergeCell ref="E111:G111"/>
    <mergeCell ref="D130:F130"/>
    <mergeCell ref="C99:H99"/>
    <mergeCell ref="D96:F96"/>
    <mergeCell ref="E148:G149"/>
    <mergeCell ref="D13:F13"/>
    <mergeCell ref="D16:H16"/>
    <mergeCell ref="D154:F154"/>
    <mergeCell ref="A147:B147"/>
    <mergeCell ref="A30:B30"/>
    <mergeCell ref="D138:F138"/>
    <mergeCell ref="B48:B49"/>
    <mergeCell ref="A152:B152"/>
    <mergeCell ref="D87:F87"/>
    <mergeCell ref="D88:F88"/>
    <mergeCell ref="D89:F89"/>
    <mergeCell ref="D90:F90"/>
    <mergeCell ref="A48:A49"/>
    <mergeCell ref="C48:C49"/>
    <mergeCell ref="D86:F86"/>
    <mergeCell ref="D153:F153"/>
    <mergeCell ref="A1:H1"/>
    <mergeCell ref="A2:H2"/>
    <mergeCell ref="D22:F22"/>
    <mergeCell ref="A40:A41"/>
    <mergeCell ref="B40:B41"/>
    <mergeCell ref="C40:C41"/>
    <mergeCell ref="A3:H3"/>
    <mergeCell ref="C5:G5"/>
    <mergeCell ref="C6:G6"/>
    <mergeCell ref="C7:G7"/>
    <mergeCell ref="D9:F9"/>
    <mergeCell ref="A23:B23"/>
    <mergeCell ref="D21:F21"/>
    <mergeCell ref="A34:B34"/>
    <mergeCell ref="A32:B32"/>
    <mergeCell ref="D36:H37"/>
    <mergeCell ref="D278:F278"/>
    <mergeCell ref="D265:F265"/>
    <mergeCell ref="D236:F236"/>
    <mergeCell ref="D244:F244"/>
    <mergeCell ref="D245:F245"/>
    <mergeCell ref="D241:F241"/>
    <mergeCell ref="D242:F242"/>
    <mergeCell ref="D238:F238"/>
    <mergeCell ref="D239:F239"/>
    <mergeCell ref="D240:F240"/>
    <mergeCell ref="D243:F243"/>
    <mergeCell ref="D237:F237"/>
    <mergeCell ref="D281:F281"/>
    <mergeCell ref="D91:F91"/>
    <mergeCell ref="D92:F92"/>
    <mergeCell ref="D225:F225"/>
    <mergeCell ref="B221:D221"/>
    <mergeCell ref="D93:F93"/>
    <mergeCell ref="D277:F277"/>
    <mergeCell ref="D255:F255"/>
    <mergeCell ref="C247:F247"/>
    <mergeCell ref="C248:F248"/>
    <mergeCell ref="D229:F229"/>
    <mergeCell ref="D279:F279"/>
    <mergeCell ref="D264:F264"/>
    <mergeCell ref="D266:F266"/>
    <mergeCell ref="D246:F246"/>
    <mergeCell ref="D269:F269"/>
    <mergeCell ref="D230:F230"/>
    <mergeCell ref="D94:F94"/>
    <mergeCell ref="H148:H149"/>
    <mergeCell ref="D234:F234"/>
    <mergeCell ref="D235:F235"/>
    <mergeCell ref="D228:F228"/>
    <mergeCell ref="D231:F231"/>
    <mergeCell ref="D232:F232"/>
    <mergeCell ref="D224:F224"/>
    <mergeCell ref="D226:F226"/>
    <mergeCell ref="D233:F233"/>
    <mergeCell ref="D227:F227"/>
    <mergeCell ref="F123:G123"/>
    <mergeCell ref="D189:F189"/>
    <mergeCell ref="D188:F188"/>
    <mergeCell ref="D220:F220"/>
    <mergeCell ref="A207:B207"/>
    <mergeCell ref="D19:H19"/>
    <mergeCell ref="D18:H18"/>
    <mergeCell ref="W16:AA16"/>
    <mergeCell ref="G228:H229"/>
    <mergeCell ref="L86:O86"/>
    <mergeCell ref="L90:O90"/>
    <mergeCell ref="A29:B29"/>
    <mergeCell ref="K223:O223"/>
    <mergeCell ref="A183:B183"/>
    <mergeCell ref="D223:F223"/>
  </mergeCells>
  <phoneticPr fontId="3" type="noConversion"/>
  <dataValidations count="3">
    <dataValidation type="list" allowBlank="1" showInputMessage="1" showErrorMessage="1" sqref="C99:H99" xr:uid="{00000000-0002-0000-0000-000000000000}">
      <formula1>bedutil</formula1>
    </dataValidation>
    <dataValidation type="list" allowBlank="1" showInputMessage="1" showErrorMessage="1" sqref="C87:C93" xr:uid="{00000000-0002-0000-0000-000001000000}">
      <formula1>tf</formula1>
    </dataValidation>
    <dataValidation type="list" allowBlank="1" showInputMessage="1" showErrorMessage="1" promptTitle="Select YES or NO" sqref="C16 C265:C266 C18:C19 C13:C14 C279 C281" xr:uid="{00000000-0002-0000-0000-000002000000}">
      <formula1>yn</formula1>
    </dataValidation>
  </dataValidations>
  <printOptions horizontalCentered="1"/>
  <pageMargins left="0.25" right="0.25" top="0.25" bottom="0.25" header="0.5" footer="0.3"/>
  <pageSetup scale="74" fitToHeight="0" orientation="landscape" r:id="rId1"/>
  <headerFooter alignWithMargins="0">
    <oddFooter>&amp;L&amp;D&amp;R&amp;F</oddFooter>
  </headerFooter>
  <rowBreaks count="3" manualBreakCount="3">
    <brk id="54" max="7" man="1"/>
    <brk id="10" max="7" man="1"/>
    <brk id="264" max="7" man="1"/>
  </rowBreaks>
  <ignoredErrors>
    <ignoredError sqref="G186 G250:G252 G54:G61 G84 G39 H197:J197 H199:J199 H198:I198 G26:G28 H201:J201 H200:I200 G30:G32 C58 G156:G161 C176 G181:G185 G200 G201 G198 G199 G196:G197 G270:G275 C178" unlockedFormula="1"/>
    <ignoredError sqref="C246:F246 C39 C42:C47 C50:C55 D248:F248 D247:F247" emptyCellReference="1"/>
    <ignoredError sqref="G46:G47 G49:G53 G40:G44" unlockedFormula="1" emptyCellReference="1"/>
    <ignoredError sqref="J198" formula="1" unlockedFormula="1"/>
    <ignoredError sqref="G142" evalError="1"/>
    <ignoredError sqref="G256:G261" evalError="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YES or NO" xr:uid="{00000000-0002-0000-0000-000003000000}">
          <x14:formula1>
            <xm:f>Ranges!$E$1:$E$4</xm:f>
          </x14:formula1>
          <xm:sqref>C280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topLeftCell="A6" workbookViewId="0" xr3:uid="{958C4451-9541-5A59-BF78-D2F731DF1C81}">
      <selection activeCell="H34" sqref="H34"/>
    </sheetView>
  </sheetViews>
  <sheetFormatPr defaultColWidth="8.85546875" defaultRowHeight="12.75"/>
  <cols>
    <col min="1" max="1" width="10.42578125" style="414" customWidth="1"/>
    <col min="2" max="2" width="33.42578125" customWidth="1"/>
    <col min="3" max="3" width="8.85546875" style="414"/>
    <col min="4" max="4" width="8.85546875" customWidth="1"/>
    <col min="7" max="7" width="21.28515625" customWidth="1"/>
    <col min="8" max="8" width="32.28515625" customWidth="1"/>
    <col min="9" max="9" width="21.42578125" customWidth="1"/>
    <col min="10" max="10" width="18.42578125" customWidth="1"/>
  </cols>
  <sheetData>
    <row r="1" spans="1:10" ht="19.5" thickBot="1">
      <c r="A1" s="603" t="s">
        <v>363</v>
      </c>
      <c r="B1" s="604"/>
      <c r="C1" s="604"/>
      <c r="D1" s="604"/>
      <c r="E1" s="605"/>
      <c r="G1" s="606" t="s">
        <v>364</v>
      </c>
      <c r="H1" s="607"/>
      <c r="I1" s="607"/>
      <c r="J1" s="608"/>
    </row>
    <row r="2" spans="1:10" ht="13.5" thickBot="1">
      <c r="A2" s="410" t="s">
        <v>365</v>
      </c>
      <c r="B2" s="410" t="s">
        <v>366</v>
      </c>
      <c r="C2" s="410" t="s">
        <v>367</v>
      </c>
      <c r="D2" s="198" t="s">
        <v>368</v>
      </c>
      <c r="E2" s="198"/>
      <c r="G2" s="417" t="s">
        <v>369</v>
      </c>
      <c r="H2" s="418" t="s">
        <v>366</v>
      </c>
      <c r="I2" s="418" t="s">
        <v>370</v>
      </c>
      <c r="J2" s="419" t="s">
        <v>371</v>
      </c>
    </row>
    <row r="3" spans="1:10" ht="16.5" thickBot="1">
      <c r="A3" s="405"/>
      <c r="B3" s="197"/>
      <c r="C3" s="405"/>
      <c r="D3" s="197"/>
      <c r="E3" s="197"/>
      <c r="G3" s="609" t="s">
        <v>372</v>
      </c>
      <c r="H3" s="610"/>
      <c r="I3" s="420" t="s">
        <v>373</v>
      </c>
      <c r="J3" s="421">
        <v>11</v>
      </c>
    </row>
    <row r="4" spans="1:10" ht="13.5" thickBot="1">
      <c r="A4" s="411" t="s">
        <v>374</v>
      </c>
      <c r="B4" s="403" t="s">
        <v>375</v>
      </c>
      <c r="C4" s="411" t="s">
        <v>2</v>
      </c>
      <c r="D4" s="402">
        <f>SUM(C4:C13)</f>
        <v>93</v>
      </c>
      <c r="E4" s="402"/>
      <c r="G4" s="422">
        <v>1</v>
      </c>
      <c r="H4" s="423" t="s">
        <v>376</v>
      </c>
      <c r="I4" s="424">
        <v>37</v>
      </c>
      <c r="J4" s="425" t="s">
        <v>2</v>
      </c>
    </row>
    <row r="5" spans="1:10" ht="15" customHeight="1" thickBot="1">
      <c r="A5" s="412" t="s">
        <v>377</v>
      </c>
      <c r="B5" s="407" t="s">
        <v>378</v>
      </c>
      <c r="C5" s="412">
        <v>37</v>
      </c>
      <c r="D5" s="404"/>
      <c r="E5" s="404"/>
      <c r="G5" s="426">
        <v>2</v>
      </c>
      <c r="H5" s="427" t="s">
        <v>379</v>
      </c>
      <c r="I5" s="424">
        <v>15</v>
      </c>
      <c r="J5" s="419"/>
    </row>
    <row r="6" spans="1:10" ht="27" customHeight="1" thickBot="1">
      <c r="A6" s="413" t="s">
        <v>380</v>
      </c>
      <c r="B6" s="408" t="s">
        <v>381</v>
      </c>
      <c r="C6" s="413">
        <v>5</v>
      </c>
      <c r="D6" s="406"/>
      <c r="E6" s="197"/>
      <c r="G6" s="429">
        <v>3</v>
      </c>
      <c r="H6" s="430" t="s">
        <v>382</v>
      </c>
      <c r="I6" s="431">
        <v>10</v>
      </c>
      <c r="J6" s="419"/>
    </row>
    <row r="7" spans="1:10" ht="13.5" thickBot="1">
      <c r="A7" s="413">
        <v>2</v>
      </c>
      <c r="B7" s="407" t="s">
        <v>383</v>
      </c>
      <c r="C7" s="413">
        <v>15</v>
      </c>
      <c r="D7" s="199"/>
      <c r="E7" s="197"/>
      <c r="G7" s="429">
        <v>4</v>
      </c>
      <c r="H7" s="430" t="s">
        <v>384</v>
      </c>
      <c r="I7" s="424">
        <v>10</v>
      </c>
      <c r="J7" s="419"/>
    </row>
    <row r="8" spans="1:10" ht="13.5" thickBot="1">
      <c r="A8" s="413">
        <v>3</v>
      </c>
      <c r="B8" s="407" t="s">
        <v>385</v>
      </c>
      <c r="C8" s="415">
        <v>10</v>
      </c>
      <c r="D8" s="199"/>
      <c r="E8" s="199" t="s">
        <v>2</v>
      </c>
      <c r="G8" s="429">
        <v>5</v>
      </c>
      <c r="H8" s="430" t="s">
        <v>386</v>
      </c>
      <c r="I8" s="424">
        <v>5</v>
      </c>
      <c r="J8" s="419"/>
    </row>
    <row r="9" spans="1:10" ht="13.5" thickBot="1">
      <c r="A9" s="413">
        <v>4</v>
      </c>
      <c r="B9" s="407" t="s">
        <v>387</v>
      </c>
      <c r="C9" s="413">
        <v>10</v>
      </c>
      <c r="D9" s="199"/>
      <c r="E9" s="197"/>
      <c r="G9" s="429">
        <v>6</v>
      </c>
      <c r="H9" s="430" t="s">
        <v>388</v>
      </c>
      <c r="I9" s="424">
        <v>4</v>
      </c>
      <c r="J9" s="419"/>
    </row>
    <row r="10" spans="1:10" ht="13.5" thickBot="1">
      <c r="A10" s="413">
        <v>5</v>
      </c>
      <c r="B10" s="407" t="s">
        <v>389</v>
      </c>
      <c r="C10" s="413">
        <v>5</v>
      </c>
      <c r="D10" s="199"/>
      <c r="E10" s="197"/>
      <c r="G10" s="429">
        <v>7</v>
      </c>
      <c r="H10" s="430" t="s">
        <v>390</v>
      </c>
      <c r="I10" s="424">
        <v>3</v>
      </c>
      <c r="J10" s="419"/>
    </row>
    <row r="11" spans="1:10" ht="13.5" thickBot="1">
      <c r="A11" s="413">
        <v>6</v>
      </c>
      <c r="B11" s="407" t="s">
        <v>391</v>
      </c>
      <c r="C11" s="413">
        <v>4</v>
      </c>
      <c r="D11" s="199"/>
      <c r="E11" s="197"/>
      <c r="G11" s="429">
        <v>8</v>
      </c>
      <c r="H11" s="430" t="s">
        <v>392</v>
      </c>
      <c r="I11" s="424">
        <v>4</v>
      </c>
      <c r="J11" s="419"/>
    </row>
    <row r="12" spans="1:10" ht="15.75" customHeight="1" thickBot="1">
      <c r="A12" s="413">
        <v>7</v>
      </c>
      <c r="B12" s="408" t="s">
        <v>393</v>
      </c>
      <c r="C12" s="413">
        <v>3</v>
      </c>
      <c r="D12" s="199"/>
      <c r="E12" s="197"/>
      <c r="G12" s="432"/>
      <c r="H12" s="428"/>
      <c r="I12" s="432"/>
      <c r="J12" s="419"/>
    </row>
    <row r="13" spans="1:10" ht="16.5" thickBot="1">
      <c r="A13" s="413">
        <v>8</v>
      </c>
      <c r="B13" s="407" t="s">
        <v>394</v>
      </c>
      <c r="C13" s="413">
        <v>4</v>
      </c>
      <c r="D13" s="199"/>
      <c r="E13" s="197"/>
      <c r="G13" s="611" t="s">
        <v>152</v>
      </c>
      <c r="H13" s="612"/>
      <c r="I13" s="433" t="s">
        <v>373</v>
      </c>
      <c r="J13" s="421">
        <v>11</v>
      </c>
    </row>
    <row r="14" spans="1:10" ht="13.5" thickBot="1">
      <c r="A14" s="405"/>
      <c r="B14" s="197"/>
      <c r="C14" s="405"/>
      <c r="D14" s="197"/>
      <c r="E14" s="197"/>
      <c r="G14" s="426">
        <v>9</v>
      </c>
      <c r="H14" s="423" t="s">
        <v>395</v>
      </c>
      <c r="I14" s="424">
        <v>2</v>
      </c>
      <c r="J14" s="419" t="s">
        <v>2</v>
      </c>
    </row>
    <row r="15" spans="1:10" ht="13.5" thickBot="1">
      <c r="A15" s="411" t="s">
        <v>396</v>
      </c>
      <c r="B15" s="409" t="s">
        <v>397</v>
      </c>
      <c r="C15" s="411"/>
      <c r="D15" s="402">
        <f>SUM(C16:C19)</f>
        <v>18</v>
      </c>
      <c r="E15" s="402"/>
      <c r="G15" s="429">
        <v>10</v>
      </c>
      <c r="H15" s="427" t="s">
        <v>398</v>
      </c>
      <c r="I15" s="424">
        <v>4</v>
      </c>
      <c r="J15" s="419"/>
    </row>
    <row r="16" spans="1:10" ht="13.5" thickBot="1">
      <c r="A16" s="405">
        <v>9</v>
      </c>
      <c r="B16" s="407" t="s">
        <v>399</v>
      </c>
      <c r="C16" s="405">
        <v>5</v>
      </c>
      <c r="D16" s="199" t="s">
        <v>2</v>
      </c>
      <c r="E16" s="197"/>
      <c r="G16" s="429">
        <v>11</v>
      </c>
      <c r="H16" s="430" t="s">
        <v>400</v>
      </c>
      <c r="I16" s="424">
        <v>5</v>
      </c>
      <c r="J16" s="419"/>
    </row>
    <row r="17" spans="1:10" ht="13.5" thickBot="1">
      <c r="A17" s="413" t="s">
        <v>401</v>
      </c>
      <c r="B17" s="416" t="s">
        <v>402</v>
      </c>
      <c r="C17" s="405">
        <v>4</v>
      </c>
      <c r="D17" s="197"/>
      <c r="E17" s="197"/>
      <c r="G17" s="429"/>
      <c r="H17" s="419"/>
      <c r="I17" s="419"/>
      <c r="J17" s="419"/>
    </row>
    <row r="18" spans="1:10" ht="16.5" thickBot="1">
      <c r="A18" s="413" t="s">
        <v>403</v>
      </c>
      <c r="B18" s="416" t="s">
        <v>404</v>
      </c>
      <c r="C18" s="405">
        <v>4</v>
      </c>
      <c r="D18" s="197"/>
      <c r="E18" s="197"/>
      <c r="G18" s="613" t="s">
        <v>405</v>
      </c>
      <c r="H18" s="602"/>
      <c r="I18" s="433" t="s">
        <v>373</v>
      </c>
      <c r="J18" s="421">
        <v>11</v>
      </c>
    </row>
    <row r="19" spans="1:10" ht="13.5" thickBot="1">
      <c r="A19" s="405">
        <v>11</v>
      </c>
      <c r="B19" s="407" t="s">
        <v>406</v>
      </c>
      <c r="C19" s="405">
        <v>5</v>
      </c>
      <c r="D19" s="197"/>
      <c r="E19" s="197"/>
      <c r="G19" s="434">
        <v>12</v>
      </c>
      <c r="H19" s="435" t="s">
        <v>407</v>
      </c>
      <c r="I19" s="424">
        <v>5</v>
      </c>
      <c r="J19" s="419"/>
    </row>
    <row r="20" spans="1:10" ht="13.5" thickBot="1">
      <c r="A20" s="405"/>
      <c r="B20" s="197"/>
      <c r="C20" s="405"/>
      <c r="D20" s="197"/>
      <c r="E20" s="197"/>
      <c r="G20" s="426">
        <v>13</v>
      </c>
      <c r="H20" s="430" t="s">
        <v>408</v>
      </c>
      <c r="I20" s="424">
        <v>4</v>
      </c>
      <c r="J20" s="419"/>
    </row>
    <row r="21" spans="1:10" ht="13.5" thickBot="1">
      <c r="A21" s="411" t="s">
        <v>409</v>
      </c>
      <c r="B21" s="409" t="s">
        <v>410</v>
      </c>
      <c r="C21" s="411"/>
      <c r="D21" s="402">
        <f>SUM(C22:C25)</f>
        <v>26</v>
      </c>
      <c r="E21" s="402"/>
      <c r="G21" s="429">
        <v>14</v>
      </c>
      <c r="H21" s="430" t="s">
        <v>411</v>
      </c>
      <c r="I21" s="424">
        <v>11</v>
      </c>
      <c r="J21" s="419"/>
    </row>
    <row r="22" spans="1:10" ht="13.5" thickBot="1">
      <c r="A22" s="405">
        <v>12</v>
      </c>
      <c r="B22" s="407" t="s">
        <v>412</v>
      </c>
      <c r="C22" s="405">
        <v>5</v>
      </c>
      <c r="E22" s="197"/>
      <c r="G22" s="429">
        <v>15</v>
      </c>
      <c r="H22" s="430" t="s">
        <v>413</v>
      </c>
      <c r="I22" s="424">
        <v>2</v>
      </c>
      <c r="J22" s="419"/>
    </row>
    <row r="23" spans="1:10" ht="13.5" thickBot="1">
      <c r="A23" s="405">
        <v>13</v>
      </c>
      <c r="B23" s="407" t="s">
        <v>414</v>
      </c>
      <c r="C23" s="405">
        <v>4</v>
      </c>
      <c r="D23" s="197"/>
      <c r="E23" s="197"/>
      <c r="G23" s="429">
        <v>16</v>
      </c>
      <c r="H23" s="430" t="s">
        <v>415</v>
      </c>
      <c r="I23" s="424">
        <v>5</v>
      </c>
      <c r="J23" s="419"/>
    </row>
    <row r="24" spans="1:10" ht="13.5" thickBot="1">
      <c r="A24" s="405">
        <v>14</v>
      </c>
      <c r="B24" s="407" t="s">
        <v>416</v>
      </c>
      <c r="C24" s="405">
        <v>12</v>
      </c>
      <c r="D24" s="197"/>
      <c r="E24" s="197"/>
      <c r="G24" s="432"/>
      <c r="H24" s="419"/>
      <c r="I24" s="419"/>
      <c r="J24" s="419"/>
    </row>
    <row r="25" spans="1:10" ht="16.5" thickBot="1">
      <c r="A25" s="405">
        <v>15</v>
      </c>
      <c r="B25" s="407" t="s">
        <v>415</v>
      </c>
      <c r="C25" s="405">
        <v>5</v>
      </c>
      <c r="D25" s="197"/>
      <c r="E25" s="197"/>
      <c r="G25" s="601" t="s">
        <v>249</v>
      </c>
      <c r="H25" s="602"/>
      <c r="I25" s="433" t="s">
        <v>373</v>
      </c>
      <c r="J25" s="421">
        <v>22</v>
      </c>
    </row>
    <row r="26" spans="1:10" ht="15" customHeight="1" thickBot="1">
      <c r="A26" s="405"/>
      <c r="B26" s="197"/>
      <c r="C26" s="405"/>
      <c r="D26" s="197"/>
      <c r="E26" s="197"/>
      <c r="G26" s="426">
        <v>17</v>
      </c>
      <c r="H26" s="436" t="s">
        <v>417</v>
      </c>
      <c r="I26" s="437">
        <v>2</v>
      </c>
      <c r="J26" s="419" t="s">
        <v>2</v>
      </c>
    </row>
    <row r="27" spans="1:10" ht="13.5" thickBot="1">
      <c r="A27" s="411" t="s">
        <v>418</v>
      </c>
      <c r="B27" s="409" t="s">
        <v>419</v>
      </c>
      <c r="C27" s="411"/>
      <c r="D27" s="402">
        <f>SUM(C28:C33)</f>
        <v>22</v>
      </c>
      <c r="E27" s="402"/>
      <c r="G27" s="429">
        <v>18</v>
      </c>
      <c r="H27" s="438" t="s">
        <v>420</v>
      </c>
      <c r="I27" s="437">
        <v>5</v>
      </c>
      <c r="J27" s="419"/>
    </row>
    <row r="28" spans="1:10" ht="13.5" thickBot="1">
      <c r="A28" s="405">
        <v>16</v>
      </c>
      <c r="B28" s="199" t="s">
        <v>421</v>
      </c>
      <c r="C28" s="405">
        <v>2</v>
      </c>
      <c r="D28" s="197"/>
      <c r="E28" s="197"/>
      <c r="G28" s="429">
        <v>19</v>
      </c>
      <c r="H28" s="419" t="s">
        <v>422</v>
      </c>
      <c r="I28" s="437">
        <v>5</v>
      </c>
      <c r="J28" s="419"/>
    </row>
    <row r="29" spans="1:10" ht="26.25" thickBot="1">
      <c r="A29" s="405">
        <v>17</v>
      </c>
      <c r="B29" s="199" t="s">
        <v>423</v>
      </c>
      <c r="C29" s="405">
        <v>5</v>
      </c>
      <c r="D29" s="197"/>
      <c r="E29" s="197"/>
      <c r="G29" s="429">
        <v>20</v>
      </c>
      <c r="H29" s="438" t="s">
        <v>424</v>
      </c>
      <c r="I29" s="437">
        <v>5</v>
      </c>
      <c r="J29" s="419"/>
    </row>
    <row r="30" spans="1:10" ht="26.25" thickBot="1">
      <c r="A30" s="405">
        <v>18</v>
      </c>
      <c r="B30" s="199" t="s">
        <v>425</v>
      </c>
      <c r="C30" s="405">
        <v>10</v>
      </c>
      <c r="D30" s="197"/>
      <c r="E30" s="197"/>
      <c r="G30" s="429">
        <v>21</v>
      </c>
      <c r="H30" s="438" t="s">
        <v>426</v>
      </c>
      <c r="I30" s="437">
        <v>5</v>
      </c>
      <c r="J30" s="419"/>
    </row>
    <row r="31" spans="1:10" ht="14.25" customHeight="1" thickBot="1">
      <c r="A31" s="405">
        <v>19</v>
      </c>
      <c r="B31" s="199" t="s">
        <v>427</v>
      </c>
      <c r="C31" s="405">
        <v>5</v>
      </c>
      <c r="D31" s="197"/>
      <c r="E31" s="197"/>
      <c r="G31" s="429"/>
      <c r="H31" s="419"/>
      <c r="I31" s="419"/>
      <c r="J31" s="419"/>
    </row>
    <row r="32" spans="1:10" ht="14.25" customHeight="1" thickBot="1">
      <c r="A32" s="405"/>
      <c r="B32" s="197"/>
      <c r="C32" s="405"/>
      <c r="D32" s="197"/>
      <c r="E32" s="197"/>
      <c r="G32" s="601" t="s">
        <v>428</v>
      </c>
      <c r="H32" s="602"/>
      <c r="I32" s="433" t="s">
        <v>373</v>
      </c>
      <c r="J32" s="421">
        <v>14</v>
      </c>
    </row>
    <row r="33" spans="1:10" ht="13.5" thickBot="1">
      <c r="A33" s="411" t="s">
        <v>429</v>
      </c>
      <c r="B33" s="409" t="s">
        <v>430</v>
      </c>
      <c r="C33" s="411" t="s">
        <v>2</v>
      </c>
      <c r="D33" s="402">
        <f>SUM(C34:C37)</f>
        <v>25</v>
      </c>
      <c r="E33" s="402"/>
      <c r="G33" s="426">
        <v>22</v>
      </c>
      <c r="H33" s="427" t="s">
        <v>431</v>
      </c>
      <c r="I33" s="424">
        <v>6</v>
      </c>
      <c r="J33" s="419" t="s">
        <v>2</v>
      </c>
    </row>
    <row r="34" spans="1:10" ht="13.5" thickBot="1">
      <c r="A34" s="405">
        <v>20</v>
      </c>
      <c r="B34" s="199" t="s">
        <v>432</v>
      </c>
      <c r="C34" s="405">
        <v>5</v>
      </c>
      <c r="E34" s="197"/>
      <c r="G34" s="429">
        <v>23</v>
      </c>
      <c r="H34" s="438" t="s">
        <v>433</v>
      </c>
      <c r="I34" s="437">
        <v>3</v>
      </c>
      <c r="J34" s="419"/>
    </row>
    <row r="35" spans="1:10" ht="27" customHeight="1" thickBot="1">
      <c r="A35" s="405">
        <v>21</v>
      </c>
      <c r="B35" s="199" t="s">
        <v>434</v>
      </c>
      <c r="C35" s="405">
        <v>5</v>
      </c>
      <c r="D35" s="197"/>
      <c r="E35" s="197"/>
      <c r="G35" s="429">
        <v>24</v>
      </c>
      <c r="H35" s="438" t="s">
        <v>435</v>
      </c>
      <c r="I35" s="437">
        <v>5</v>
      </c>
      <c r="J35" s="419"/>
    </row>
    <row r="36" spans="1:10" ht="13.5" thickBot="1">
      <c r="A36" s="405">
        <v>22</v>
      </c>
      <c r="B36" s="199" t="s">
        <v>436</v>
      </c>
      <c r="C36" s="405">
        <v>5</v>
      </c>
      <c r="D36" s="197"/>
      <c r="E36" s="197"/>
      <c r="G36" s="432"/>
      <c r="H36" s="419"/>
      <c r="I36" s="419"/>
      <c r="J36" s="419"/>
    </row>
    <row r="37" spans="1:10" ht="16.5" thickBot="1">
      <c r="A37" s="405">
        <v>23</v>
      </c>
      <c r="B37" s="199" t="s">
        <v>437</v>
      </c>
      <c r="C37" s="405">
        <v>10</v>
      </c>
      <c r="D37" s="197"/>
      <c r="E37" s="197"/>
      <c r="G37" s="601" t="s">
        <v>438</v>
      </c>
      <c r="H37" s="602"/>
      <c r="I37" s="420" t="s">
        <v>373</v>
      </c>
      <c r="J37" s="421">
        <v>25</v>
      </c>
    </row>
    <row r="38" spans="1:10" ht="13.5" thickBot="1">
      <c r="A38" s="405"/>
      <c r="B38" s="197"/>
      <c r="C38" s="405"/>
      <c r="D38" s="197"/>
      <c r="E38" s="197"/>
      <c r="G38" s="426">
        <v>25</v>
      </c>
      <c r="H38" s="427" t="s">
        <v>439</v>
      </c>
      <c r="I38" s="424">
        <v>5</v>
      </c>
      <c r="J38" s="419" t="s">
        <v>2</v>
      </c>
    </row>
    <row r="39" spans="1:10" ht="13.5" thickBot="1">
      <c r="A39" s="409" t="s">
        <v>440</v>
      </c>
      <c r="B39" s="403"/>
      <c r="C39" s="411"/>
      <c r="D39" s="402">
        <f>SUM(C40:C41)</f>
        <v>16</v>
      </c>
      <c r="E39" s="402"/>
      <c r="G39" s="429">
        <v>26</v>
      </c>
      <c r="H39" s="430" t="s">
        <v>441</v>
      </c>
      <c r="I39" s="424">
        <v>5</v>
      </c>
      <c r="J39" s="419"/>
    </row>
    <row r="40" spans="1:10" ht="14.25" customHeight="1" thickBot="1">
      <c r="A40" s="405">
        <v>24</v>
      </c>
      <c r="B40" s="407" t="s">
        <v>442</v>
      </c>
      <c r="C40" s="413">
        <v>8</v>
      </c>
      <c r="E40" s="197"/>
      <c r="G40" s="429">
        <v>27</v>
      </c>
      <c r="H40" s="438" t="s">
        <v>443</v>
      </c>
      <c r="I40" s="437">
        <v>5</v>
      </c>
      <c r="J40" s="419"/>
    </row>
    <row r="41" spans="1:10" ht="13.5" thickBot="1">
      <c r="A41" s="413">
        <v>25</v>
      </c>
      <c r="B41" s="407" t="s">
        <v>444</v>
      </c>
      <c r="C41" s="413">
        <v>8</v>
      </c>
      <c r="D41" s="197"/>
      <c r="E41" s="197"/>
      <c r="G41" s="429">
        <v>28</v>
      </c>
      <c r="H41" s="419" t="s">
        <v>445</v>
      </c>
      <c r="I41" s="437">
        <v>10</v>
      </c>
      <c r="J41" s="419"/>
    </row>
    <row r="42" spans="1:10" ht="13.5" thickBot="1">
      <c r="A42" s="405"/>
      <c r="B42" s="197"/>
      <c r="C42" s="405"/>
      <c r="D42" s="197"/>
      <c r="E42" s="197"/>
      <c r="G42" s="429"/>
      <c r="H42" s="419"/>
      <c r="I42" s="419"/>
      <c r="J42" s="419"/>
    </row>
    <row r="43" spans="1:10" ht="16.5" thickBot="1">
      <c r="A43" s="409" t="s">
        <v>446</v>
      </c>
      <c r="B43" s="403"/>
      <c r="C43" s="411"/>
      <c r="D43" s="402">
        <f>SUM(D3:D42)</f>
        <v>200</v>
      </c>
      <c r="E43" s="402"/>
      <c r="G43" s="601" t="s">
        <v>447</v>
      </c>
      <c r="H43" s="602"/>
      <c r="I43" s="420" t="s">
        <v>373</v>
      </c>
      <c r="J43" s="421">
        <v>13</v>
      </c>
    </row>
    <row r="44" spans="1:10" ht="13.5" thickBot="1">
      <c r="G44" s="426">
        <v>29</v>
      </c>
      <c r="H44" s="439" t="s">
        <v>448</v>
      </c>
      <c r="I44" s="437">
        <v>5</v>
      </c>
      <c r="J44" s="419" t="s">
        <v>2</v>
      </c>
    </row>
    <row r="45" spans="1:10" ht="13.5" thickBot="1">
      <c r="G45" s="429">
        <v>30</v>
      </c>
      <c r="H45" s="440" t="s">
        <v>449</v>
      </c>
      <c r="I45" s="437">
        <v>8</v>
      </c>
      <c r="J45" s="419"/>
    </row>
    <row r="46" spans="1:10" ht="16.5" thickBot="1">
      <c r="G46" s="441"/>
      <c r="H46" s="442" t="s">
        <v>450</v>
      </c>
      <c r="I46" s="442"/>
      <c r="J46" s="443">
        <v>200</v>
      </c>
    </row>
  </sheetData>
  <mergeCells count="9">
    <mergeCell ref="G25:H25"/>
    <mergeCell ref="G32:H32"/>
    <mergeCell ref="G37:H37"/>
    <mergeCell ref="G43:H43"/>
    <mergeCell ref="A1:E1"/>
    <mergeCell ref="G1:J1"/>
    <mergeCell ref="G3:H3"/>
    <mergeCell ref="G13:H13"/>
    <mergeCell ref="G18:H18"/>
  </mergeCells>
  <pageMargins left="1" right="1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13" zoomScale="80" zoomScaleNormal="80" workbookViewId="0" xr3:uid="{842E5F09-E766-5B8D-85AF-A39847EA96FD}">
      <selection activeCell="E20" sqref="E20"/>
    </sheetView>
  </sheetViews>
  <sheetFormatPr defaultColWidth="8.85546875" defaultRowHeight="12.75"/>
  <cols>
    <col min="1" max="1" width="12.5703125" customWidth="1"/>
    <col min="2" max="2" width="11.5703125" customWidth="1"/>
    <col min="4" max="4" width="56.7109375" customWidth="1"/>
  </cols>
  <sheetData>
    <row r="1" spans="1:5">
      <c r="A1" s="224" t="s">
        <v>143</v>
      </c>
      <c r="B1" s="224" t="s">
        <v>25</v>
      </c>
      <c r="C1" s="224" t="s">
        <v>451</v>
      </c>
      <c r="D1" s="239" t="s">
        <v>452</v>
      </c>
      <c r="E1" s="224" t="s">
        <v>359</v>
      </c>
    </row>
    <row r="2" spans="1:5">
      <c r="A2" t="b">
        <v>1</v>
      </c>
      <c r="B2" s="224" t="s">
        <v>453</v>
      </c>
      <c r="C2" s="224" t="s">
        <v>454</v>
      </c>
      <c r="D2" s="239" t="s">
        <v>455</v>
      </c>
      <c r="E2" s="224" t="s">
        <v>456</v>
      </c>
    </row>
    <row r="3" spans="1:5">
      <c r="A3" t="b">
        <v>0</v>
      </c>
      <c r="B3" s="224" t="s">
        <v>457</v>
      </c>
      <c r="C3" s="224" t="s">
        <v>458</v>
      </c>
      <c r="D3" s="239" t="s">
        <v>459</v>
      </c>
      <c r="E3" s="224" t="s">
        <v>460</v>
      </c>
    </row>
    <row r="4" spans="1:5">
      <c r="C4" s="224" t="s">
        <v>461</v>
      </c>
      <c r="D4" s="239" t="s">
        <v>157</v>
      </c>
      <c r="E4" t="s">
        <v>462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6"/>
  <sheetViews>
    <sheetView topLeftCell="A3" workbookViewId="0" xr3:uid="{51F8DEE0-4D01-5F28-A812-FC0BD7CAC4A5}">
      <selection activeCell="L14" sqref="L14"/>
    </sheetView>
  </sheetViews>
  <sheetFormatPr defaultColWidth="8.85546875" defaultRowHeight="12.75"/>
  <cols>
    <col min="1" max="1" width="10.42578125" style="414" customWidth="1"/>
    <col min="2" max="2" width="33.42578125" customWidth="1"/>
    <col min="3" max="3" width="8.85546875" style="414"/>
    <col min="4" max="4" width="8.85546875" customWidth="1"/>
    <col min="7" max="7" width="11.42578125" customWidth="1"/>
    <col min="8" max="8" width="32.28515625" customWidth="1"/>
    <col min="9" max="9" width="21.42578125" customWidth="1"/>
    <col min="10" max="10" width="12.42578125" customWidth="1"/>
    <col min="11" max="11" width="3.7109375" customWidth="1"/>
  </cols>
  <sheetData>
    <row r="1" spans="1:12" ht="19.5" thickBot="1">
      <c r="A1" s="603" t="s">
        <v>363</v>
      </c>
      <c r="B1" s="604"/>
      <c r="C1" s="604"/>
      <c r="D1" s="604"/>
      <c r="E1" s="605"/>
      <c r="G1" s="606" t="s">
        <v>364</v>
      </c>
      <c r="H1" s="607"/>
      <c r="I1" s="607"/>
      <c r="J1" s="608"/>
      <c r="K1" s="453"/>
      <c r="L1" s="456" t="s">
        <v>463</v>
      </c>
    </row>
    <row r="2" spans="1:12" ht="13.5" thickBot="1">
      <c r="A2" s="410" t="s">
        <v>365</v>
      </c>
      <c r="B2" s="410" t="s">
        <v>366</v>
      </c>
      <c r="C2" s="410" t="s">
        <v>367</v>
      </c>
      <c r="D2" s="198" t="s">
        <v>368</v>
      </c>
      <c r="E2" s="198"/>
      <c r="G2" s="417" t="s">
        <v>369</v>
      </c>
      <c r="H2" s="418" t="s">
        <v>366</v>
      </c>
      <c r="I2" s="418" t="s">
        <v>370</v>
      </c>
      <c r="J2" s="419" t="s">
        <v>371</v>
      </c>
      <c r="K2" s="454"/>
    </row>
    <row r="3" spans="1:12" ht="15.75">
      <c r="A3" s="411" t="s">
        <v>374</v>
      </c>
      <c r="B3" s="403" t="s">
        <v>375</v>
      </c>
      <c r="C3" s="411" t="s">
        <v>2</v>
      </c>
      <c r="D3" s="402">
        <f>SUM(C3:C12)</f>
        <v>93</v>
      </c>
      <c r="E3" s="402"/>
      <c r="G3" s="609" t="s">
        <v>372</v>
      </c>
      <c r="H3" s="610"/>
      <c r="I3" s="444" t="s">
        <v>373</v>
      </c>
      <c r="J3" s="445">
        <f>SUM(I4:I11)</f>
        <v>88</v>
      </c>
      <c r="K3" s="455"/>
      <c r="L3" s="224" t="s">
        <v>464</v>
      </c>
    </row>
    <row r="4" spans="1:12">
      <c r="A4" s="412" t="s">
        <v>377</v>
      </c>
      <c r="B4" s="407" t="s">
        <v>378</v>
      </c>
      <c r="C4" s="412">
        <v>37</v>
      </c>
      <c r="D4" s="404"/>
      <c r="E4" s="404"/>
      <c r="G4" s="446">
        <v>1</v>
      </c>
      <c r="H4" s="447" t="s">
        <v>376</v>
      </c>
      <c r="I4" s="448">
        <v>37</v>
      </c>
      <c r="J4" s="449" t="s">
        <v>2</v>
      </c>
      <c r="K4" s="454"/>
    </row>
    <row r="5" spans="1:12" ht="24" customHeight="1">
      <c r="A5" s="413" t="s">
        <v>380</v>
      </c>
      <c r="B5" s="408" t="s">
        <v>381</v>
      </c>
      <c r="C5" s="413">
        <v>5</v>
      </c>
      <c r="D5" s="406"/>
      <c r="E5" s="197"/>
      <c r="G5" s="446">
        <v>2</v>
      </c>
      <c r="H5" s="451" t="s">
        <v>379</v>
      </c>
      <c r="I5" s="448">
        <v>15</v>
      </c>
      <c r="J5" s="447"/>
      <c r="K5" s="454"/>
    </row>
    <row r="6" spans="1:12" ht="27" customHeight="1">
      <c r="A6" s="413">
        <v>2</v>
      </c>
      <c r="B6" s="407" t="s">
        <v>383</v>
      </c>
      <c r="C6" s="413">
        <v>15</v>
      </c>
      <c r="D6" s="199"/>
      <c r="E6" s="197"/>
      <c r="G6" s="446">
        <v>3</v>
      </c>
      <c r="H6" s="451" t="s">
        <v>382</v>
      </c>
      <c r="I6" s="450">
        <v>10</v>
      </c>
      <c r="J6" s="447"/>
      <c r="K6" s="454"/>
    </row>
    <row r="7" spans="1:12">
      <c r="A7" s="413">
        <v>3</v>
      </c>
      <c r="B7" s="407" t="s">
        <v>385</v>
      </c>
      <c r="C7" s="415">
        <v>10</v>
      </c>
      <c r="D7" s="199"/>
      <c r="E7" s="199" t="s">
        <v>2</v>
      </c>
      <c r="G7" s="446">
        <v>4</v>
      </c>
      <c r="H7" s="451" t="s">
        <v>384</v>
      </c>
      <c r="I7" s="448">
        <v>10</v>
      </c>
      <c r="J7" s="447"/>
      <c r="K7" s="454"/>
    </row>
    <row r="8" spans="1:12">
      <c r="A8" s="413">
        <v>4</v>
      </c>
      <c r="B8" s="407" t="s">
        <v>387</v>
      </c>
      <c r="C8" s="413">
        <v>10</v>
      </c>
      <c r="D8" s="199"/>
      <c r="E8" s="197"/>
      <c r="G8" s="446">
        <v>5</v>
      </c>
      <c r="H8" s="451" t="s">
        <v>386</v>
      </c>
      <c r="I8" s="448">
        <v>5</v>
      </c>
      <c r="J8" s="447"/>
      <c r="K8" s="454"/>
    </row>
    <row r="9" spans="1:12" ht="25.5">
      <c r="A9" s="413">
        <v>5</v>
      </c>
      <c r="B9" s="407" t="s">
        <v>389</v>
      </c>
      <c r="C9" s="413">
        <v>5</v>
      </c>
      <c r="D9" s="199"/>
      <c r="E9" s="197"/>
      <c r="G9" s="446">
        <v>6</v>
      </c>
      <c r="H9" s="451" t="s">
        <v>388</v>
      </c>
      <c r="I9" s="448">
        <v>4</v>
      </c>
      <c r="J9" s="447"/>
      <c r="K9" s="454"/>
    </row>
    <row r="10" spans="1:12" ht="25.5">
      <c r="A10" s="413">
        <v>6</v>
      </c>
      <c r="B10" s="407" t="s">
        <v>465</v>
      </c>
      <c r="C10" s="413">
        <v>4</v>
      </c>
      <c r="D10" s="199"/>
      <c r="E10" s="197"/>
      <c r="G10" s="446">
        <v>7</v>
      </c>
      <c r="H10" s="451" t="s">
        <v>390</v>
      </c>
      <c r="I10" s="448">
        <v>3</v>
      </c>
      <c r="J10" s="447"/>
      <c r="K10" s="454"/>
    </row>
    <row r="11" spans="1:12" ht="25.5">
      <c r="A11" s="413">
        <v>7</v>
      </c>
      <c r="B11" s="408" t="s">
        <v>466</v>
      </c>
      <c r="C11" s="413">
        <v>3</v>
      </c>
      <c r="D11" s="199"/>
      <c r="E11" s="197"/>
      <c r="G11" s="446">
        <v>8</v>
      </c>
      <c r="H11" s="451" t="s">
        <v>392</v>
      </c>
      <c r="I11" s="448">
        <v>4</v>
      </c>
      <c r="J11" s="447"/>
      <c r="K11" s="454"/>
    </row>
    <row r="12" spans="1:12" ht="15.75" customHeight="1" thickBot="1">
      <c r="A12" s="413">
        <v>8</v>
      </c>
      <c r="B12" s="407" t="s">
        <v>394</v>
      </c>
      <c r="C12" s="413">
        <v>4</v>
      </c>
      <c r="D12" s="199"/>
      <c r="E12" s="197"/>
      <c r="G12" s="432"/>
      <c r="H12" s="428"/>
      <c r="I12" s="432"/>
      <c r="J12" s="419"/>
      <c r="K12" s="454"/>
    </row>
    <row r="13" spans="1:12" ht="16.5" thickBot="1">
      <c r="A13" s="405"/>
      <c r="B13" s="197"/>
      <c r="C13" s="405"/>
      <c r="D13" s="197"/>
      <c r="E13" s="197"/>
      <c r="G13" s="611" t="s">
        <v>152</v>
      </c>
      <c r="H13" s="612"/>
      <c r="I13" s="433" t="s">
        <v>373</v>
      </c>
      <c r="J13" s="421">
        <f>SUM(I14:I16)</f>
        <v>11</v>
      </c>
      <c r="K13" s="455"/>
      <c r="L13" s="224" t="s">
        <v>467</v>
      </c>
    </row>
    <row r="14" spans="1:12" ht="13.5" thickBot="1">
      <c r="A14" s="411" t="s">
        <v>396</v>
      </c>
      <c r="B14" s="409" t="s">
        <v>397</v>
      </c>
      <c r="C14" s="411"/>
      <c r="D14" s="402">
        <f>SUM(C15:C18)</f>
        <v>18</v>
      </c>
      <c r="E14" s="402"/>
      <c r="G14" s="426">
        <v>9</v>
      </c>
      <c r="H14" s="423" t="s">
        <v>395</v>
      </c>
      <c r="I14" s="424">
        <v>2</v>
      </c>
      <c r="J14" s="419" t="s">
        <v>2</v>
      </c>
      <c r="K14" s="454"/>
    </row>
    <row r="15" spans="1:12" ht="13.5" thickBot="1">
      <c r="A15" s="405">
        <v>9</v>
      </c>
      <c r="B15" s="407" t="s">
        <v>399</v>
      </c>
      <c r="C15" s="405">
        <v>5</v>
      </c>
      <c r="D15" s="199" t="s">
        <v>2</v>
      </c>
      <c r="E15" s="197"/>
      <c r="G15" s="429">
        <v>10</v>
      </c>
      <c r="H15" s="427" t="s">
        <v>398</v>
      </c>
      <c r="I15" s="424">
        <v>4</v>
      </c>
      <c r="J15" s="419"/>
      <c r="K15" s="454"/>
    </row>
    <row r="16" spans="1:12" ht="13.5" thickBot="1">
      <c r="A16" s="413" t="s">
        <v>401</v>
      </c>
      <c r="B16" s="416" t="s">
        <v>402</v>
      </c>
      <c r="C16" s="405">
        <v>4</v>
      </c>
      <c r="D16" s="197"/>
      <c r="E16" s="197"/>
      <c r="G16" s="429">
        <v>11</v>
      </c>
      <c r="H16" s="430" t="s">
        <v>400</v>
      </c>
      <c r="I16" s="424">
        <v>5</v>
      </c>
      <c r="J16" s="419"/>
      <c r="K16" s="454"/>
    </row>
    <row r="17" spans="1:12" ht="13.5" thickBot="1">
      <c r="A17" s="413" t="s">
        <v>403</v>
      </c>
      <c r="B17" s="416" t="s">
        <v>404</v>
      </c>
      <c r="C17" s="405">
        <v>4</v>
      </c>
      <c r="D17" s="197"/>
      <c r="E17" s="197"/>
      <c r="G17" s="429"/>
      <c r="H17" s="419"/>
      <c r="I17" s="419"/>
      <c r="J17" s="419"/>
      <c r="K17" s="454"/>
    </row>
    <row r="18" spans="1:12" ht="16.5" thickBot="1">
      <c r="A18" s="405">
        <v>11</v>
      </c>
      <c r="B18" s="407" t="s">
        <v>468</v>
      </c>
      <c r="C18" s="405">
        <v>5</v>
      </c>
      <c r="D18" s="197"/>
      <c r="E18" s="197"/>
      <c r="G18" s="613" t="s">
        <v>405</v>
      </c>
      <c r="H18" s="602"/>
      <c r="I18" s="433" t="s">
        <v>373</v>
      </c>
      <c r="J18" s="421">
        <f>SUM(I19:I23)</f>
        <v>27</v>
      </c>
      <c r="K18" s="455"/>
      <c r="L18" s="224" t="s">
        <v>469</v>
      </c>
    </row>
    <row r="19" spans="1:12" ht="13.5" thickBot="1">
      <c r="A19" s="405"/>
      <c r="B19" s="197"/>
      <c r="C19" s="405"/>
      <c r="D19" s="197"/>
      <c r="E19" s="197"/>
      <c r="G19" s="434">
        <v>12</v>
      </c>
      <c r="H19" s="435" t="s">
        <v>407</v>
      </c>
      <c r="I19" s="424">
        <v>5</v>
      </c>
      <c r="J19" s="419"/>
      <c r="K19" s="454"/>
    </row>
    <row r="20" spans="1:12" ht="13.5" thickBot="1">
      <c r="A20" s="411" t="s">
        <v>409</v>
      </c>
      <c r="B20" s="409" t="s">
        <v>410</v>
      </c>
      <c r="C20" s="411"/>
      <c r="D20" s="402">
        <f>SUM(C21:C24)</f>
        <v>26</v>
      </c>
      <c r="E20" s="402"/>
      <c r="G20" s="426">
        <v>13</v>
      </c>
      <c r="H20" s="430" t="s">
        <v>408</v>
      </c>
      <c r="I20" s="424">
        <v>4</v>
      </c>
      <c r="J20" s="419"/>
      <c r="K20" s="454"/>
    </row>
    <row r="21" spans="1:12" ht="13.5" thickBot="1">
      <c r="A21" s="405">
        <v>12</v>
      </c>
      <c r="B21" s="407" t="s">
        <v>412</v>
      </c>
      <c r="C21" s="405">
        <v>5</v>
      </c>
      <c r="E21" s="197"/>
      <c r="G21" s="429">
        <v>14</v>
      </c>
      <c r="H21" s="430" t="s">
        <v>411</v>
      </c>
      <c r="I21" s="424">
        <v>11</v>
      </c>
      <c r="J21" s="419"/>
      <c r="K21" s="454"/>
    </row>
    <row r="22" spans="1:12" ht="13.5" thickBot="1">
      <c r="A22" s="405">
        <v>13</v>
      </c>
      <c r="B22" s="407" t="s">
        <v>414</v>
      </c>
      <c r="C22" s="405">
        <v>4</v>
      </c>
      <c r="D22" s="197"/>
      <c r="E22" s="197"/>
      <c r="G22" s="429">
        <v>15</v>
      </c>
      <c r="H22" s="430" t="s">
        <v>413</v>
      </c>
      <c r="I22" s="424">
        <v>2</v>
      </c>
      <c r="J22" s="419"/>
      <c r="K22" s="454"/>
    </row>
    <row r="23" spans="1:12" ht="13.5" thickBot="1">
      <c r="A23" s="405">
        <v>14</v>
      </c>
      <c r="B23" s="407" t="s">
        <v>416</v>
      </c>
      <c r="C23" s="405">
        <v>12</v>
      </c>
      <c r="D23" s="197"/>
      <c r="E23" s="197"/>
      <c r="G23" s="429">
        <v>16</v>
      </c>
      <c r="H23" s="430" t="s">
        <v>415</v>
      </c>
      <c r="I23" s="424">
        <v>5</v>
      </c>
      <c r="J23" s="419"/>
      <c r="K23" s="454"/>
    </row>
    <row r="24" spans="1:12" ht="13.5" thickBot="1">
      <c r="A24" s="405">
        <v>15</v>
      </c>
      <c r="B24" s="407" t="s">
        <v>415</v>
      </c>
      <c r="C24" s="405">
        <v>5</v>
      </c>
      <c r="D24" s="197"/>
      <c r="E24" s="197"/>
      <c r="G24" s="432"/>
      <c r="H24" s="419"/>
      <c r="I24" s="419"/>
      <c r="J24" s="419"/>
      <c r="K24" s="454"/>
    </row>
    <row r="25" spans="1:12" ht="16.5" thickBot="1">
      <c r="A25" s="405"/>
      <c r="B25" s="197"/>
      <c r="C25" s="405"/>
      <c r="D25" s="197"/>
      <c r="E25" s="197"/>
      <c r="G25" s="601" t="s">
        <v>249</v>
      </c>
      <c r="H25" s="602"/>
      <c r="I25" s="433" t="s">
        <v>373</v>
      </c>
      <c r="J25" s="421">
        <f>SUM(I26:I30)</f>
        <v>22</v>
      </c>
      <c r="K25" s="455"/>
      <c r="L25" s="224" t="s">
        <v>470</v>
      </c>
    </row>
    <row r="26" spans="1:12" ht="15" customHeight="1" thickBot="1">
      <c r="A26" s="411" t="s">
        <v>418</v>
      </c>
      <c r="B26" s="409" t="s">
        <v>419</v>
      </c>
      <c r="C26" s="411"/>
      <c r="D26" s="402">
        <f>SUM(C27:C32)</f>
        <v>22</v>
      </c>
      <c r="E26" s="402"/>
      <c r="G26" s="426">
        <v>17</v>
      </c>
      <c r="H26" s="436" t="s">
        <v>417</v>
      </c>
      <c r="I26" s="437">
        <v>2</v>
      </c>
      <c r="J26" s="419" t="s">
        <v>2</v>
      </c>
      <c r="K26" s="454"/>
    </row>
    <row r="27" spans="1:12" ht="13.5" thickBot="1">
      <c r="A27" s="405">
        <v>16</v>
      </c>
      <c r="B27" s="199" t="s">
        <v>421</v>
      </c>
      <c r="C27" s="405">
        <v>2</v>
      </c>
      <c r="D27" s="197"/>
      <c r="E27" s="197"/>
      <c r="G27" s="429">
        <v>18</v>
      </c>
      <c r="H27" s="438" t="s">
        <v>420</v>
      </c>
      <c r="I27" s="437">
        <v>5</v>
      </c>
      <c r="J27" s="419"/>
      <c r="K27" s="454"/>
    </row>
    <row r="28" spans="1:12" ht="13.5" thickBot="1">
      <c r="A28" s="405">
        <v>17</v>
      </c>
      <c r="B28" s="199" t="s">
        <v>423</v>
      </c>
      <c r="C28" s="405">
        <v>5</v>
      </c>
      <c r="D28" s="197"/>
      <c r="E28" s="197"/>
      <c r="G28" s="429">
        <v>19</v>
      </c>
      <c r="H28" s="419" t="s">
        <v>422</v>
      </c>
      <c r="I28" s="437">
        <v>5</v>
      </c>
      <c r="J28" s="419"/>
      <c r="K28" s="454"/>
    </row>
    <row r="29" spans="1:12" ht="26.25" thickBot="1">
      <c r="A29" s="405">
        <v>18</v>
      </c>
      <c r="B29" s="199" t="s">
        <v>425</v>
      </c>
      <c r="C29" s="405">
        <v>10</v>
      </c>
      <c r="D29" s="197"/>
      <c r="E29" s="197"/>
      <c r="G29" s="429">
        <v>20</v>
      </c>
      <c r="H29" s="438" t="s">
        <v>424</v>
      </c>
      <c r="I29" s="437">
        <v>5</v>
      </c>
      <c r="J29" s="419"/>
      <c r="K29" s="454"/>
    </row>
    <row r="30" spans="1:12" ht="26.25" thickBot="1">
      <c r="A30" s="405">
        <v>19</v>
      </c>
      <c r="B30" s="199" t="s">
        <v>427</v>
      </c>
      <c r="C30" s="405">
        <v>5</v>
      </c>
      <c r="D30" s="197"/>
      <c r="E30" s="197"/>
      <c r="G30" s="429">
        <v>21</v>
      </c>
      <c r="H30" s="438" t="s">
        <v>426</v>
      </c>
      <c r="I30" s="437">
        <v>5</v>
      </c>
      <c r="J30" s="419"/>
      <c r="K30" s="454"/>
    </row>
    <row r="31" spans="1:12" ht="14.25" customHeight="1" thickBot="1">
      <c r="A31" s="405"/>
      <c r="B31" s="197"/>
      <c r="C31" s="405"/>
      <c r="D31" s="197"/>
      <c r="E31" s="197"/>
      <c r="G31" s="429"/>
      <c r="H31" s="419"/>
      <c r="I31" s="419"/>
      <c r="J31" s="419"/>
      <c r="K31" s="454"/>
    </row>
    <row r="32" spans="1:12" ht="14.25" customHeight="1" thickBot="1">
      <c r="A32" s="411" t="s">
        <v>429</v>
      </c>
      <c r="B32" s="409" t="s">
        <v>430</v>
      </c>
      <c r="C32" s="411" t="s">
        <v>2</v>
      </c>
      <c r="D32" s="402">
        <f>SUM(C33:C36)</f>
        <v>25</v>
      </c>
      <c r="E32" s="402"/>
      <c r="G32" s="601" t="s">
        <v>428</v>
      </c>
      <c r="H32" s="602"/>
      <c r="I32" s="433" t="s">
        <v>373</v>
      </c>
      <c r="J32" s="421">
        <f>SUM(I33:I35)</f>
        <v>14</v>
      </c>
      <c r="K32" s="455"/>
      <c r="L32" s="452" t="s">
        <v>471</v>
      </c>
    </row>
    <row r="33" spans="1:12" ht="13.5" thickBot="1">
      <c r="A33" s="405">
        <v>20</v>
      </c>
      <c r="B33" s="199" t="s">
        <v>432</v>
      </c>
      <c r="C33" s="405">
        <v>5</v>
      </c>
      <c r="E33" s="197"/>
      <c r="G33" s="426">
        <v>22</v>
      </c>
      <c r="H33" s="427" t="s">
        <v>431</v>
      </c>
      <c r="I33" s="424">
        <v>6</v>
      </c>
      <c r="J33" s="419" t="s">
        <v>2</v>
      </c>
      <c r="K33" s="454"/>
    </row>
    <row r="34" spans="1:12" ht="13.5" thickBot="1">
      <c r="A34" s="405">
        <v>21</v>
      </c>
      <c r="B34" s="199" t="s">
        <v>434</v>
      </c>
      <c r="C34" s="405">
        <v>5</v>
      </c>
      <c r="D34" s="197"/>
      <c r="E34" s="197"/>
      <c r="G34" s="429">
        <v>23</v>
      </c>
      <c r="H34" s="438" t="s">
        <v>433</v>
      </c>
      <c r="I34" s="437">
        <v>3</v>
      </c>
      <c r="J34" s="419"/>
      <c r="K34" s="454"/>
    </row>
    <row r="35" spans="1:12" ht="26.25" thickBot="1">
      <c r="A35" s="405">
        <v>22</v>
      </c>
      <c r="B35" s="199" t="s">
        <v>436</v>
      </c>
      <c r="C35" s="405">
        <v>5</v>
      </c>
      <c r="D35" s="197"/>
      <c r="E35" s="197"/>
      <c r="G35" s="429">
        <v>24</v>
      </c>
      <c r="H35" s="438" t="s">
        <v>435</v>
      </c>
      <c r="I35" s="437">
        <v>5</v>
      </c>
      <c r="J35" s="419"/>
      <c r="K35" s="454"/>
    </row>
    <row r="36" spans="1:12" ht="13.5" thickBot="1">
      <c r="A36" s="405">
        <v>23</v>
      </c>
      <c r="B36" s="199" t="s">
        <v>437</v>
      </c>
      <c r="C36" s="405">
        <v>10</v>
      </c>
      <c r="D36" s="197"/>
      <c r="E36" s="197"/>
      <c r="G36" s="432"/>
      <c r="H36" s="419"/>
      <c r="I36" s="419"/>
      <c r="J36" s="419"/>
      <c r="K36" s="454"/>
    </row>
    <row r="37" spans="1:12" ht="16.5" thickBot="1">
      <c r="A37" s="405"/>
      <c r="B37" s="197"/>
      <c r="C37" s="405"/>
      <c r="D37" s="197"/>
      <c r="E37" s="197"/>
      <c r="G37" s="601" t="s">
        <v>438</v>
      </c>
      <c r="H37" s="602"/>
      <c r="I37" s="420" t="s">
        <v>373</v>
      </c>
      <c r="J37" s="421">
        <f>SUM(I38:I41)</f>
        <v>25</v>
      </c>
      <c r="K37" s="455"/>
      <c r="L37" s="224" t="s">
        <v>470</v>
      </c>
    </row>
    <row r="38" spans="1:12" ht="13.5" thickBot="1">
      <c r="A38" s="411" t="s">
        <v>440</v>
      </c>
      <c r="B38" s="403"/>
      <c r="C38" s="411"/>
      <c r="D38" s="402">
        <f>SUM(C39:C40)</f>
        <v>16</v>
      </c>
      <c r="E38" s="402"/>
      <c r="G38" s="426">
        <v>25</v>
      </c>
      <c r="H38" s="427" t="s">
        <v>439</v>
      </c>
      <c r="I38" s="424">
        <v>5</v>
      </c>
      <c r="J38" s="419" t="s">
        <v>2</v>
      </c>
      <c r="K38" s="454"/>
    </row>
    <row r="39" spans="1:12" ht="13.5" thickBot="1">
      <c r="A39" s="405">
        <v>24</v>
      </c>
      <c r="B39" s="407" t="s">
        <v>472</v>
      </c>
      <c r="C39" s="413">
        <v>8</v>
      </c>
      <c r="E39" s="197"/>
      <c r="G39" s="429">
        <v>26</v>
      </c>
      <c r="H39" s="430" t="s">
        <v>441</v>
      </c>
      <c r="I39" s="424">
        <v>5</v>
      </c>
      <c r="J39" s="419"/>
      <c r="K39" s="454"/>
    </row>
    <row r="40" spans="1:12" ht="14.25" customHeight="1" thickBot="1">
      <c r="A40" s="413">
        <v>25</v>
      </c>
      <c r="B40" s="407" t="s">
        <v>444</v>
      </c>
      <c r="C40" s="413">
        <v>8</v>
      </c>
      <c r="D40" s="197"/>
      <c r="E40" s="197"/>
      <c r="G40" s="429">
        <v>27</v>
      </c>
      <c r="H40" s="438" t="s">
        <v>443</v>
      </c>
      <c r="I40" s="437">
        <v>5</v>
      </c>
      <c r="J40" s="419"/>
      <c r="K40" s="454"/>
    </row>
    <row r="41" spans="1:12" ht="13.5" thickBot="1">
      <c r="A41" s="405"/>
      <c r="B41" s="197"/>
      <c r="C41" s="405"/>
      <c r="D41" s="197"/>
      <c r="E41" s="197"/>
      <c r="G41" s="429">
        <v>28</v>
      </c>
      <c r="H41" s="419" t="s">
        <v>445</v>
      </c>
      <c r="I41" s="437">
        <v>10</v>
      </c>
      <c r="J41" s="419"/>
      <c r="K41" s="454"/>
    </row>
    <row r="42" spans="1:12" ht="13.5" thickBot="1">
      <c r="A42" s="409" t="s">
        <v>446</v>
      </c>
      <c r="B42" s="403"/>
      <c r="C42" s="411"/>
      <c r="D42" s="402">
        <f>SUM(D3:D41)</f>
        <v>200</v>
      </c>
      <c r="E42" s="402"/>
      <c r="G42" s="429"/>
      <c r="H42" s="419"/>
      <c r="I42" s="419"/>
      <c r="J42" s="419"/>
      <c r="K42" s="454"/>
    </row>
    <row r="43" spans="1:12" ht="16.5" thickBot="1">
      <c r="G43" s="601" t="s">
        <v>447</v>
      </c>
      <c r="H43" s="602"/>
      <c r="I43" s="420" t="s">
        <v>373</v>
      </c>
      <c r="J43" s="421">
        <f>SUM(I44:I45)</f>
        <v>13</v>
      </c>
      <c r="K43" s="455"/>
      <c r="L43" s="224" t="s">
        <v>473</v>
      </c>
    </row>
    <row r="44" spans="1:12" ht="13.5" thickBot="1">
      <c r="G44" s="426">
        <v>29</v>
      </c>
      <c r="H44" s="439" t="s">
        <v>448</v>
      </c>
      <c r="I44" s="437">
        <v>5</v>
      </c>
      <c r="J44" s="419" t="s">
        <v>2</v>
      </c>
      <c r="K44" s="454"/>
    </row>
    <row r="45" spans="1:12" ht="13.5" thickBot="1">
      <c r="G45" s="429">
        <v>30</v>
      </c>
      <c r="H45" s="440" t="s">
        <v>449</v>
      </c>
      <c r="I45" s="437">
        <v>8</v>
      </c>
      <c r="J45" s="419"/>
      <c r="K45" s="454"/>
    </row>
    <row r="46" spans="1:12" ht="16.5" thickBot="1">
      <c r="G46" s="441"/>
      <c r="H46" s="442" t="s">
        <v>450</v>
      </c>
      <c r="I46" s="442"/>
      <c r="J46" s="443">
        <v>200</v>
      </c>
      <c r="K46" s="455"/>
    </row>
  </sheetData>
  <mergeCells count="9">
    <mergeCell ref="G32:H32"/>
    <mergeCell ref="G37:H37"/>
    <mergeCell ref="G43:H43"/>
    <mergeCell ref="A1:E1"/>
    <mergeCell ref="G1:J1"/>
    <mergeCell ref="G3:H3"/>
    <mergeCell ref="G13:H13"/>
    <mergeCell ref="G18:H18"/>
    <mergeCell ref="G25:H25"/>
  </mergeCells>
  <pageMargins left="1" right="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Community Research Foundation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Christenson</dc:creator>
  <cp:keywords/>
  <dc:description/>
  <cp:lastModifiedBy>Patricia Leslie</cp:lastModifiedBy>
  <cp:revision/>
  <dcterms:created xsi:type="dcterms:W3CDTF">2008-10-09T21:52:55Z</dcterms:created>
  <dcterms:modified xsi:type="dcterms:W3CDTF">2017-08-14T22:18:46Z</dcterms:modified>
  <cp:category/>
  <cp:contentStatus/>
</cp:coreProperties>
</file>